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bccert-my.sharepoint.com/personal/pbishop_gowpi_org/Documents/Desktop/"/>
    </mc:Choice>
  </mc:AlternateContent>
  <xr:revisionPtr revIDLastSave="0" documentId="8_{111A1804-0736-4BFB-856F-5D4A2BD4F39B}" xr6:coauthVersionLast="47" xr6:coauthVersionMax="47" xr10:uidLastSave="{00000000-0000-0000-0000-000000000000}"/>
  <bookViews>
    <workbookView xWindow="31755" yWindow="1020" windowWidth="45090" windowHeight="15210" activeTab="1" xr2:uid="{00000000-000D-0000-FFFF-FFFF00000000}"/>
  </bookViews>
  <sheets>
    <sheet name="Budget vs. Actuals" sheetId="1" r:id="rId1"/>
    <sheet name="Sheet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4" i="2" l="1"/>
  <c r="Q19" i="2"/>
  <c r="R19" i="2"/>
  <c r="R20" i="2"/>
  <c r="Q21" i="2"/>
  <c r="R21" i="2"/>
  <c r="Q22" i="2"/>
  <c r="R22" i="2"/>
  <c r="Q23" i="2"/>
  <c r="R23" i="2"/>
  <c r="Q24" i="2"/>
  <c r="R24" i="2"/>
  <c r="Q25" i="2"/>
  <c r="R25" i="2"/>
  <c r="Q32" i="2"/>
  <c r="R32" i="2"/>
  <c r="Q33" i="2"/>
  <c r="R35" i="2"/>
  <c r="B33" i="2"/>
  <c r="V37" i="2"/>
  <c r="Q38" i="2"/>
  <c r="Q48" i="2"/>
  <c r="B52" i="2"/>
  <c r="Q52" i="2"/>
  <c r="V52" i="2"/>
  <c r="R56" i="2"/>
  <c r="B67" i="2"/>
  <c r="C67" i="2"/>
  <c r="B68" i="2"/>
  <c r="C68" i="2"/>
  <c r="B73" i="2"/>
  <c r="Q62" i="2"/>
  <c r="R62" i="2"/>
  <c r="R64" i="2"/>
  <c r="Q65" i="2"/>
  <c r="Q67" i="2"/>
  <c r="R67" i="2"/>
  <c r="Q68" i="2"/>
  <c r="R68" i="2"/>
  <c r="R71" i="2"/>
  <c r="Q73" i="2"/>
  <c r="R73" i="2"/>
  <c r="Q76" i="2"/>
  <c r="V76" i="2"/>
  <c r="B79" i="2"/>
  <c r="Q79" i="2"/>
  <c r="R79" i="2"/>
  <c r="R80" i="2"/>
  <c r="R81" i="2"/>
  <c r="M131" i="2"/>
  <c r="X139" i="2" l="1"/>
  <c r="S139" i="2"/>
  <c r="N139" i="2"/>
  <c r="I139" i="2"/>
  <c r="D139" i="2"/>
  <c r="X136" i="2"/>
  <c r="S136" i="2"/>
  <c r="N136" i="2"/>
  <c r="I136" i="2"/>
  <c r="D136" i="2"/>
  <c r="X127" i="2"/>
  <c r="S127" i="2"/>
  <c r="N127" i="2"/>
  <c r="I127" i="2"/>
  <c r="D127" i="2"/>
  <c r="X113" i="2"/>
  <c r="S113" i="2"/>
  <c r="N113" i="2"/>
  <c r="I113" i="2"/>
  <c r="D113" i="2"/>
  <c r="X105" i="2"/>
  <c r="S105" i="2"/>
  <c r="N105" i="2"/>
  <c r="I105" i="2"/>
  <c r="I131" i="2" s="1"/>
  <c r="D105" i="2"/>
  <c r="X99" i="2"/>
  <c r="S99" i="2"/>
  <c r="N99" i="2"/>
  <c r="I99" i="2"/>
  <c r="D99" i="2"/>
  <c r="X88" i="2"/>
  <c r="S88" i="2"/>
  <c r="N88" i="2"/>
  <c r="I88" i="2"/>
  <c r="D88" i="2"/>
  <c r="X84" i="2"/>
  <c r="S84" i="2"/>
  <c r="N84" i="2"/>
  <c r="I84" i="2"/>
  <c r="D84" i="2"/>
  <c r="X77" i="2"/>
  <c r="S77" i="2"/>
  <c r="N77" i="2"/>
  <c r="I77" i="2"/>
  <c r="D77" i="2"/>
  <c r="X45" i="2"/>
  <c r="S45" i="2"/>
  <c r="N45" i="2"/>
  <c r="I45" i="2"/>
  <c r="D45" i="2"/>
  <c r="X40" i="2"/>
  <c r="S40" i="2"/>
  <c r="N40" i="2"/>
  <c r="I40" i="2"/>
  <c r="D40" i="2"/>
  <c r="AC40" i="2" s="1"/>
  <c r="X36" i="2"/>
  <c r="S36" i="2"/>
  <c r="N36" i="2"/>
  <c r="I36" i="2"/>
  <c r="D36" i="2"/>
  <c r="X31" i="2"/>
  <c r="S31" i="2"/>
  <c r="N31" i="2"/>
  <c r="I31" i="2"/>
  <c r="D31" i="2"/>
  <c r="X26" i="2"/>
  <c r="S26" i="2"/>
  <c r="N26" i="2"/>
  <c r="I26" i="2"/>
  <c r="D26" i="2"/>
  <c r="X17" i="2"/>
  <c r="S17" i="2"/>
  <c r="N17" i="2"/>
  <c r="I17" i="2"/>
  <c r="D17" i="2"/>
  <c r="X12" i="2"/>
  <c r="S12" i="2"/>
  <c r="N12" i="2"/>
  <c r="I12" i="2"/>
  <c r="D12" i="2"/>
  <c r="AF142" i="2"/>
  <c r="AF143" i="2"/>
  <c r="AC8" i="2"/>
  <c r="AC9" i="2"/>
  <c r="AC10" i="2"/>
  <c r="AC11" i="2"/>
  <c r="AC13" i="2"/>
  <c r="AC14" i="2"/>
  <c r="AC15" i="2"/>
  <c r="AC16" i="2"/>
  <c r="AC18" i="2"/>
  <c r="AC19" i="2"/>
  <c r="AC20" i="2"/>
  <c r="AC21" i="2"/>
  <c r="AC22" i="2"/>
  <c r="AC23" i="2"/>
  <c r="AC24" i="2"/>
  <c r="AC25" i="2"/>
  <c r="AC27" i="2"/>
  <c r="AC28" i="2"/>
  <c r="AC29" i="2"/>
  <c r="AC30" i="2"/>
  <c r="AC32" i="2"/>
  <c r="AC33" i="2"/>
  <c r="AC34" i="2"/>
  <c r="AC35" i="2"/>
  <c r="AC37" i="2"/>
  <c r="AC38" i="2"/>
  <c r="AC39" i="2"/>
  <c r="AC41" i="2"/>
  <c r="AC42" i="2"/>
  <c r="AC43" i="2"/>
  <c r="AC44" i="2"/>
  <c r="AC46" i="2"/>
  <c r="AC47" i="2"/>
  <c r="AC48" i="2"/>
  <c r="AC51" i="2"/>
  <c r="AF51" i="2" s="1"/>
  <c r="AC52" i="2"/>
  <c r="AC53" i="2"/>
  <c r="AC54" i="2"/>
  <c r="AC55" i="2"/>
  <c r="AC56" i="2"/>
  <c r="AC57" i="2"/>
  <c r="AC58" i="2"/>
  <c r="AC59" i="2"/>
  <c r="AC60" i="2"/>
  <c r="AC61" i="2"/>
  <c r="AC62" i="2"/>
  <c r="AC63" i="2"/>
  <c r="AC64" i="2"/>
  <c r="AC65" i="2"/>
  <c r="AC66" i="2"/>
  <c r="AC67" i="2"/>
  <c r="AC68" i="2"/>
  <c r="AC69" i="2"/>
  <c r="AC70" i="2"/>
  <c r="AC71" i="2"/>
  <c r="AC72" i="2"/>
  <c r="AC73" i="2"/>
  <c r="AC74" i="2"/>
  <c r="AC75" i="2"/>
  <c r="AC76" i="2"/>
  <c r="AC78" i="2"/>
  <c r="AC79" i="2"/>
  <c r="AC80" i="2"/>
  <c r="AC81" i="2"/>
  <c r="AC82" i="2"/>
  <c r="AC83" i="2"/>
  <c r="AC85" i="2"/>
  <c r="AC86" i="2"/>
  <c r="AC87" i="2"/>
  <c r="AC89" i="2"/>
  <c r="AC90" i="2"/>
  <c r="AC91" i="2"/>
  <c r="AC92" i="2"/>
  <c r="AC93" i="2"/>
  <c r="AC94" i="2"/>
  <c r="AC95" i="2"/>
  <c r="AC96" i="2"/>
  <c r="AC97" i="2"/>
  <c r="AC98" i="2"/>
  <c r="AC100" i="2"/>
  <c r="AC101" i="2"/>
  <c r="AC102" i="2"/>
  <c r="AC103" i="2"/>
  <c r="AC104" i="2"/>
  <c r="AC106" i="2"/>
  <c r="AC107" i="2"/>
  <c r="AC108" i="2"/>
  <c r="AC109" i="2"/>
  <c r="AC110" i="2"/>
  <c r="AC111" i="2"/>
  <c r="AC112" i="2"/>
  <c r="AC114" i="2"/>
  <c r="AC115" i="2"/>
  <c r="AC116" i="2"/>
  <c r="AC117" i="2"/>
  <c r="AC118" i="2"/>
  <c r="AC119" i="2"/>
  <c r="AC120" i="2"/>
  <c r="AC121" i="2"/>
  <c r="AC122" i="2"/>
  <c r="AC123" i="2"/>
  <c r="AC124" i="2"/>
  <c r="AC125" i="2"/>
  <c r="AC126" i="2"/>
  <c r="AC128" i="2"/>
  <c r="AC129" i="2"/>
  <c r="AF129" i="2" s="1"/>
  <c r="AC130" i="2"/>
  <c r="AC133" i="2"/>
  <c r="AF133" i="2" s="1"/>
  <c r="AC134" i="2"/>
  <c r="AC135" i="2"/>
  <c r="AC137" i="2"/>
  <c r="AF137" i="2" s="1"/>
  <c r="AC138" i="2"/>
  <c r="AC7" i="2"/>
  <c r="AF7" i="2" s="1"/>
  <c r="W139" i="2"/>
  <c r="Z139" i="2" s="1"/>
  <c r="R139" i="2"/>
  <c r="U139" i="2" s="1"/>
  <c r="M139" i="2"/>
  <c r="P139" i="2" s="1"/>
  <c r="L139" i="2"/>
  <c r="H139" i="2"/>
  <c r="K139" i="2" s="1"/>
  <c r="G139" i="2"/>
  <c r="C139" i="2"/>
  <c r="B139" i="2"/>
  <c r="AB138" i="2"/>
  <c r="AE138" i="2" s="1"/>
  <c r="Z138" i="2"/>
  <c r="V138" i="2"/>
  <c r="V139" i="2" s="1"/>
  <c r="U138" i="2"/>
  <c r="Q138" i="2"/>
  <c r="T138" i="2" s="1"/>
  <c r="P138" i="2"/>
  <c r="O138" i="2"/>
  <c r="K138" i="2"/>
  <c r="J138" i="2"/>
  <c r="F138" i="2"/>
  <c r="E138" i="2"/>
  <c r="W136" i="2"/>
  <c r="R136" i="2"/>
  <c r="U136" i="2" s="1"/>
  <c r="Q136" i="2"/>
  <c r="H136" i="2"/>
  <c r="K136" i="2" s="1"/>
  <c r="G136" i="2"/>
  <c r="C136" i="2"/>
  <c r="F136" i="2" s="1"/>
  <c r="B136" i="2"/>
  <c r="Z135" i="2"/>
  <c r="Y135" i="2"/>
  <c r="U135" i="2"/>
  <c r="T135" i="2"/>
  <c r="M135" i="2"/>
  <c r="L135" i="2"/>
  <c r="K135" i="2"/>
  <c r="J135" i="2"/>
  <c r="F135" i="2"/>
  <c r="E135" i="2"/>
  <c r="Z134" i="2"/>
  <c r="V134" i="2"/>
  <c r="V136" i="2" s="1"/>
  <c r="U134" i="2"/>
  <c r="T134" i="2"/>
  <c r="M134" i="2"/>
  <c r="L134" i="2"/>
  <c r="K134" i="2"/>
  <c r="J134" i="2"/>
  <c r="F134" i="2"/>
  <c r="E134" i="2"/>
  <c r="AB130" i="2"/>
  <c r="AE130" i="2" s="1"/>
  <c r="Z130" i="2"/>
  <c r="Y130" i="2"/>
  <c r="U130" i="2"/>
  <c r="T130" i="2"/>
  <c r="P130" i="2"/>
  <c r="L130" i="2"/>
  <c r="AA130" i="2" s="1"/>
  <c r="K130" i="2"/>
  <c r="J130" i="2"/>
  <c r="F130" i="2"/>
  <c r="E130" i="2"/>
  <c r="AB129" i="2"/>
  <c r="AE129" i="2" s="1"/>
  <c r="Z129" i="2"/>
  <c r="Y129" i="2"/>
  <c r="U129" i="2"/>
  <c r="T129" i="2"/>
  <c r="P129" i="2"/>
  <c r="L129" i="2"/>
  <c r="O129" i="2" s="1"/>
  <c r="K129" i="2"/>
  <c r="J129" i="2"/>
  <c r="F129" i="2"/>
  <c r="E129" i="2"/>
  <c r="AA128" i="2"/>
  <c r="Z128" i="2"/>
  <c r="Y128" i="2"/>
  <c r="U128" i="2"/>
  <c r="T128" i="2"/>
  <c r="M128" i="2"/>
  <c r="P128" i="2" s="1"/>
  <c r="H128" i="2"/>
  <c r="C128" i="2"/>
  <c r="F128" i="2" s="1"/>
  <c r="W127" i="2"/>
  <c r="Z127" i="2" s="1"/>
  <c r="V127" i="2"/>
  <c r="R127" i="2"/>
  <c r="U127" i="2" s="1"/>
  <c r="Q127" i="2"/>
  <c r="H127" i="2"/>
  <c r="K127" i="2" s="1"/>
  <c r="G127" i="2"/>
  <c r="C127" i="2"/>
  <c r="B127" i="2"/>
  <c r="Z126" i="2"/>
  <c r="Y126" i="2"/>
  <c r="U126" i="2"/>
  <c r="T126" i="2"/>
  <c r="M126" i="2"/>
  <c r="P126" i="2" s="1"/>
  <c r="L126" i="2"/>
  <c r="K126" i="2"/>
  <c r="J126" i="2"/>
  <c r="F126" i="2"/>
  <c r="E126" i="2"/>
  <c r="AA125" i="2"/>
  <c r="Z125" i="2"/>
  <c r="Y125" i="2"/>
  <c r="U125" i="2"/>
  <c r="T125" i="2"/>
  <c r="M125" i="2"/>
  <c r="P125" i="2" s="1"/>
  <c r="K125" i="2"/>
  <c r="J125" i="2"/>
  <c r="F125" i="2"/>
  <c r="E125" i="2"/>
  <c r="AB124" i="2"/>
  <c r="AE124" i="2" s="1"/>
  <c r="AA124" i="2"/>
  <c r="Z124" i="2"/>
  <c r="Y124" i="2"/>
  <c r="U124" i="2"/>
  <c r="T124" i="2"/>
  <c r="P124" i="2"/>
  <c r="O124" i="2"/>
  <c r="K124" i="2"/>
  <c r="J124" i="2"/>
  <c r="F124" i="2"/>
  <c r="E124" i="2"/>
  <c r="AA123" i="2"/>
  <c r="Z123" i="2"/>
  <c r="Y123" i="2"/>
  <c r="U123" i="2"/>
  <c r="T123" i="2"/>
  <c r="M123" i="2"/>
  <c r="O123" i="2" s="1"/>
  <c r="K123" i="2"/>
  <c r="J123" i="2"/>
  <c r="F123" i="2"/>
  <c r="E123" i="2"/>
  <c r="AB122" i="2"/>
  <c r="AE122" i="2" s="1"/>
  <c r="Z122" i="2"/>
  <c r="Y122" i="2"/>
  <c r="U122" i="2"/>
  <c r="T122" i="2"/>
  <c r="P122" i="2"/>
  <c r="O122" i="2"/>
  <c r="K122" i="2"/>
  <c r="G122" i="2"/>
  <c r="AA122" i="2" s="1"/>
  <c r="AD122" i="2" s="1"/>
  <c r="F122" i="2"/>
  <c r="E122" i="2"/>
  <c r="AB121" i="2"/>
  <c r="AE121" i="2" s="1"/>
  <c r="Z121" i="2"/>
  <c r="Y121" i="2"/>
  <c r="U121" i="2"/>
  <c r="T121" i="2"/>
  <c r="P121" i="2"/>
  <c r="L121" i="2"/>
  <c r="O121" i="2" s="1"/>
  <c r="K121" i="2"/>
  <c r="J121" i="2"/>
  <c r="F121" i="2"/>
  <c r="B121" i="2"/>
  <c r="E121" i="2" s="1"/>
  <c r="AB120" i="2"/>
  <c r="AE120" i="2" s="1"/>
  <c r="Z120" i="2"/>
  <c r="Y120" i="2"/>
  <c r="U120" i="2"/>
  <c r="T120" i="2"/>
  <c r="P120" i="2"/>
  <c r="L120" i="2"/>
  <c r="AA120" i="2" s="1"/>
  <c r="K120" i="2"/>
  <c r="J120" i="2"/>
  <c r="F120" i="2"/>
  <c r="E120" i="2"/>
  <c r="AB119" i="2"/>
  <c r="AE119" i="2" s="1"/>
  <c r="Z119" i="2"/>
  <c r="Y119" i="2"/>
  <c r="U119" i="2"/>
  <c r="Q119" i="2"/>
  <c r="T119" i="2" s="1"/>
  <c r="P119" i="2"/>
  <c r="O119" i="2"/>
  <c r="K119" i="2"/>
  <c r="J119" i="2"/>
  <c r="F119" i="2"/>
  <c r="E119" i="2"/>
  <c r="AB118" i="2"/>
  <c r="AE118" i="2" s="1"/>
  <c r="Z118" i="2"/>
  <c r="Y118" i="2"/>
  <c r="U118" i="2"/>
  <c r="T118" i="2"/>
  <c r="P118" i="2"/>
  <c r="O118" i="2"/>
  <c r="K118" i="2"/>
  <c r="G118" i="2"/>
  <c r="AA118" i="2" s="1"/>
  <c r="AD118" i="2" s="1"/>
  <c r="F118" i="2"/>
  <c r="E118" i="2"/>
  <c r="Z117" i="2"/>
  <c r="Y117" i="2"/>
  <c r="U117" i="2"/>
  <c r="T117" i="2"/>
  <c r="M117" i="2"/>
  <c r="L117" i="2"/>
  <c r="K117" i="2"/>
  <c r="G117" i="2"/>
  <c r="C117" i="2"/>
  <c r="B117" i="2"/>
  <c r="AB116" i="2"/>
  <c r="AE116" i="2" s="1"/>
  <c r="Z116" i="2"/>
  <c r="Y116" i="2"/>
  <c r="U116" i="2"/>
  <c r="Q116" i="2"/>
  <c r="T116" i="2" s="1"/>
  <c r="P116" i="2"/>
  <c r="L116" i="2"/>
  <c r="K116" i="2"/>
  <c r="J116" i="2"/>
  <c r="F116" i="2"/>
  <c r="E116" i="2"/>
  <c r="Z115" i="2"/>
  <c r="Y115" i="2"/>
  <c r="R115" i="2"/>
  <c r="Q115" i="2"/>
  <c r="P115" i="2"/>
  <c r="L115" i="2"/>
  <c r="H115" i="2"/>
  <c r="G115" i="2"/>
  <c r="C115" i="2"/>
  <c r="Z114" i="2"/>
  <c r="Y114" i="2"/>
  <c r="U114" i="2"/>
  <c r="T114" i="2"/>
  <c r="M114" i="2"/>
  <c r="O114" i="2" s="1"/>
  <c r="K114" i="2"/>
  <c r="J114" i="2"/>
  <c r="C114" i="2"/>
  <c r="B114" i="2"/>
  <c r="AA114" i="2" s="1"/>
  <c r="W113" i="2"/>
  <c r="V113" i="2"/>
  <c r="AA112" i="2"/>
  <c r="Z112" i="2"/>
  <c r="Y112" i="2"/>
  <c r="U112" i="2"/>
  <c r="T112" i="2"/>
  <c r="M112" i="2"/>
  <c r="P112" i="2" s="1"/>
  <c r="K112" i="2"/>
  <c r="J112" i="2"/>
  <c r="F112" i="2"/>
  <c r="E112" i="2"/>
  <c r="Z111" i="2"/>
  <c r="Y111" i="2"/>
  <c r="R111" i="2"/>
  <c r="Q111" i="2"/>
  <c r="M111" i="2"/>
  <c r="P111" i="2" s="1"/>
  <c r="K111" i="2"/>
  <c r="G111" i="2"/>
  <c r="J111" i="2" s="1"/>
  <c r="C111" i="2"/>
  <c r="F111" i="2" s="1"/>
  <c r="Z110" i="2"/>
  <c r="Y110" i="2"/>
  <c r="U110" i="2"/>
  <c r="T110" i="2"/>
  <c r="M110" i="2"/>
  <c r="AB110" i="2" s="1"/>
  <c r="L110" i="2"/>
  <c r="K110" i="2"/>
  <c r="J110" i="2"/>
  <c r="F110" i="2"/>
  <c r="E110" i="2"/>
  <c r="Z109" i="2"/>
  <c r="Y109" i="2"/>
  <c r="R109" i="2"/>
  <c r="T109" i="2" s="1"/>
  <c r="M109" i="2"/>
  <c r="L109" i="2"/>
  <c r="H109" i="2"/>
  <c r="H113" i="2" s="1"/>
  <c r="G109" i="2"/>
  <c r="C109" i="2"/>
  <c r="B109" i="2"/>
  <c r="Z108" i="2"/>
  <c r="Y108" i="2"/>
  <c r="U108" i="2"/>
  <c r="Q108" i="2"/>
  <c r="T108" i="2" s="1"/>
  <c r="M108" i="2"/>
  <c r="AB108" i="2" s="1"/>
  <c r="L108" i="2"/>
  <c r="K108" i="2"/>
  <c r="J108" i="2"/>
  <c r="F108" i="2"/>
  <c r="B108" i="2"/>
  <c r="Z107" i="2"/>
  <c r="Y107" i="2"/>
  <c r="U107" i="2"/>
  <c r="T107" i="2"/>
  <c r="M107" i="2"/>
  <c r="L107" i="2"/>
  <c r="AA107" i="2" s="1"/>
  <c r="K107" i="2"/>
  <c r="J107" i="2"/>
  <c r="F107" i="2"/>
  <c r="E107" i="2"/>
  <c r="AB106" i="2"/>
  <c r="AE106" i="2" s="1"/>
  <c r="Z106" i="2"/>
  <c r="Y106" i="2"/>
  <c r="U106" i="2"/>
  <c r="Q106" i="2"/>
  <c r="T106" i="2" s="1"/>
  <c r="P106" i="2"/>
  <c r="L106" i="2"/>
  <c r="O106" i="2" s="1"/>
  <c r="K106" i="2"/>
  <c r="J106" i="2"/>
  <c r="F106" i="2"/>
  <c r="B106" i="2"/>
  <c r="E106" i="2" s="1"/>
  <c r="W105" i="2"/>
  <c r="V105" i="2"/>
  <c r="R105" i="2"/>
  <c r="U105" i="2" s="1"/>
  <c r="H105" i="2"/>
  <c r="K105" i="2" s="1"/>
  <c r="Z104" i="2"/>
  <c r="Y104" i="2"/>
  <c r="U104" i="2"/>
  <c r="Q104" i="2"/>
  <c r="T104" i="2" s="1"/>
  <c r="M104" i="2"/>
  <c r="L104" i="2"/>
  <c r="K104" i="2"/>
  <c r="G104" i="2"/>
  <c r="J104" i="2" s="1"/>
  <c r="F104" i="2"/>
  <c r="B104" i="2"/>
  <c r="E104" i="2" s="1"/>
  <c r="Z103" i="2"/>
  <c r="Y103" i="2"/>
  <c r="U103" i="2"/>
  <c r="T103" i="2"/>
  <c r="M103" i="2"/>
  <c r="L103" i="2"/>
  <c r="K103" i="2"/>
  <c r="J103" i="2"/>
  <c r="F103" i="2"/>
  <c r="B103" i="2"/>
  <c r="Z102" i="2"/>
  <c r="Y102" i="2"/>
  <c r="U102" i="2"/>
  <c r="Q102" i="2"/>
  <c r="T102" i="2" s="1"/>
  <c r="M102" i="2"/>
  <c r="L102" i="2"/>
  <c r="K102" i="2"/>
  <c r="G102" i="2"/>
  <c r="J102" i="2" s="1"/>
  <c r="F102" i="2"/>
  <c r="B102" i="2"/>
  <c r="E102" i="2" s="1"/>
  <c r="Z101" i="2"/>
  <c r="Y101" i="2"/>
  <c r="U101" i="2"/>
  <c r="Q101" i="2"/>
  <c r="T101" i="2" s="1"/>
  <c r="M101" i="2"/>
  <c r="L101" i="2"/>
  <c r="K101" i="2"/>
  <c r="G101" i="2"/>
  <c r="F101" i="2"/>
  <c r="B101" i="2"/>
  <c r="Z100" i="2"/>
  <c r="Y100" i="2"/>
  <c r="U100" i="2"/>
  <c r="T100" i="2"/>
  <c r="P100" i="2"/>
  <c r="L100" i="2"/>
  <c r="AA100" i="2" s="1"/>
  <c r="K100" i="2"/>
  <c r="J100" i="2"/>
  <c r="C100" i="2"/>
  <c r="C105" i="2" s="1"/>
  <c r="W99" i="2"/>
  <c r="Z99" i="2" s="1"/>
  <c r="V99" i="2"/>
  <c r="R99" i="2"/>
  <c r="U99" i="2" s="1"/>
  <c r="Q99" i="2"/>
  <c r="H99" i="2"/>
  <c r="K99" i="2" s="1"/>
  <c r="G99" i="2"/>
  <c r="C99" i="2"/>
  <c r="F99" i="2" s="1"/>
  <c r="Z98" i="2"/>
  <c r="Y98" i="2"/>
  <c r="U98" i="2"/>
  <c r="T98" i="2"/>
  <c r="M98" i="2"/>
  <c r="AB98" i="2" s="1"/>
  <c r="L98" i="2"/>
  <c r="K98" i="2"/>
  <c r="J98" i="2"/>
  <c r="F98" i="2"/>
  <c r="E98" i="2"/>
  <c r="AA97" i="2"/>
  <c r="Z97" i="2"/>
  <c r="Y97" i="2"/>
  <c r="U97" i="2"/>
  <c r="T97" i="2"/>
  <c r="M97" i="2"/>
  <c r="AB97" i="2" s="1"/>
  <c r="K97" i="2"/>
  <c r="J97" i="2"/>
  <c r="F97" i="2"/>
  <c r="E97" i="2"/>
  <c r="Z96" i="2"/>
  <c r="Y96" i="2"/>
  <c r="U96" i="2"/>
  <c r="T96" i="2"/>
  <c r="M96" i="2"/>
  <c r="L96" i="2"/>
  <c r="AA96" i="2" s="1"/>
  <c r="K96" i="2"/>
  <c r="J96" i="2"/>
  <c r="F96" i="2"/>
  <c r="E96" i="2"/>
  <c r="Z95" i="2"/>
  <c r="Y95" i="2"/>
  <c r="U95" i="2"/>
  <c r="T95" i="2"/>
  <c r="M95" i="2"/>
  <c r="AB95" i="2" s="1"/>
  <c r="L95" i="2"/>
  <c r="K95" i="2"/>
  <c r="J95" i="2"/>
  <c r="F95" i="2"/>
  <c r="B95" i="2"/>
  <c r="B99" i="2" s="1"/>
  <c r="E99" i="2" s="1"/>
  <c r="Z94" i="2"/>
  <c r="Y94" i="2"/>
  <c r="U94" i="2"/>
  <c r="T94" i="2"/>
  <c r="M94" i="2"/>
  <c r="AB94" i="2" s="1"/>
  <c r="L94" i="2"/>
  <c r="K94" i="2"/>
  <c r="J94" i="2"/>
  <c r="F94" i="2"/>
  <c r="E94" i="2"/>
  <c r="Z93" i="2"/>
  <c r="Y93" i="2"/>
  <c r="U93" i="2"/>
  <c r="T93" i="2"/>
  <c r="M93" i="2"/>
  <c r="AB93" i="2" s="1"/>
  <c r="L93" i="2"/>
  <c r="AA93" i="2" s="1"/>
  <c r="K93" i="2"/>
  <c r="J93" i="2"/>
  <c r="F93" i="2"/>
  <c r="E93" i="2"/>
  <c r="Z92" i="2"/>
  <c r="Y92" i="2"/>
  <c r="U92" i="2"/>
  <c r="T92" i="2"/>
  <c r="M92" i="2"/>
  <c r="AB92" i="2" s="1"/>
  <c r="L92" i="2"/>
  <c r="K92" i="2"/>
  <c r="J92" i="2"/>
  <c r="F92" i="2"/>
  <c r="E92" i="2"/>
  <c r="Z91" i="2"/>
  <c r="Y91" i="2"/>
  <c r="U91" i="2"/>
  <c r="T91" i="2"/>
  <c r="M91" i="2"/>
  <c r="AB91" i="2" s="1"/>
  <c r="L91" i="2"/>
  <c r="AA91" i="2" s="1"/>
  <c r="K91" i="2"/>
  <c r="J91" i="2"/>
  <c r="F91" i="2"/>
  <c r="E91" i="2"/>
  <c r="Z90" i="2"/>
  <c r="Y90" i="2"/>
  <c r="U90" i="2"/>
  <c r="T90" i="2"/>
  <c r="M90" i="2"/>
  <c r="L90" i="2"/>
  <c r="K90" i="2"/>
  <c r="J90" i="2"/>
  <c r="F90" i="2"/>
  <c r="E90" i="2"/>
  <c r="AB89" i="2"/>
  <c r="AE89" i="2" s="1"/>
  <c r="AA89" i="2"/>
  <c r="Z89" i="2"/>
  <c r="Y89" i="2"/>
  <c r="U89" i="2"/>
  <c r="T89" i="2"/>
  <c r="P89" i="2"/>
  <c r="O89" i="2"/>
  <c r="K89" i="2"/>
  <c r="J89" i="2"/>
  <c r="F89" i="2"/>
  <c r="E89" i="2"/>
  <c r="W88" i="2"/>
  <c r="Z88" i="2" s="1"/>
  <c r="V88" i="2"/>
  <c r="R88" i="2"/>
  <c r="U88" i="2" s="1"/>
  <c r="Q88" i="2"/>
  <c r="H88" i="2"/>
  <c r="K88" i="2" s="1"/>
  <c r="G88" i="2"/>
  <c r="C88" i="2"/>
  <c r="F88" i="2" s="1"/>
  <c r="B88" i="2"/>
  <c r="Z87" i="2"/>
  <c r="Y87" i="2"/>
  <c r="U87" i="2"/>
  <c r="T87" i="2"/>
  <c r="M87" i="2"/>
  <c r="AB87" i="2" s="1"/>
  <c r="L87" i="2"/>
  <c r="K87" i="2"/>
  <c r="J87" i="2"/>
  <c r="F87" i="2"/>
  <c r="E87" i="2"/>
  <c r="Z86" i="2"/>
  <c r="Y86" i="2"/>
  <c r="U86" i="2"/>
  <c r="T86" i="2"/>
  <c r="M86" i="2"/>
  <c r="L86" i="2"/>
  <c r="K86" i="2"/>
  <c r="J86" i="2"/>
  <c r="F86" i="2"/>
  <c r="E86" i="2"/>
  <c r="AB85" i="2"/>
  <c r="AE85" i="2" s="1"/>
  <c r="AA85" i="2"/>
  <c r="Z85" i="2"/>
  <c r="Y85" i="2"/>
  <c r="U85" i="2"/>
  <c r="T85" i="2"/>
  <c r="P85" i="2"/>
  <c r="O85" i="2"/>
  <c r="K85" i="2"/>
  <c r="J85" i="2"/>
  <c r="F85" i="2"/>
  <c r="E85" i="2"/>
  <c r="W84" i="2"/>
  <c r="Z84" i="2" s="1"/>
  <c r="V84" i="2"/>
  <c r="Z83" i="2"/>
  <c r="Y83" i="2"/>
  <c r="U83" i="2"/>
  <c r="T83" i="2"/>
  <c r="M83" i="2"/>
  <c r="L83" i="2"/>
  <c r="K83" i="2"/>
  <c r="J83" i="2"/>
  <c r="C83" i="2"/>
  <c r="B83" i="2"/>
  <c r="Z82" i="2"/>
  <c r="Y82" i="2"/>
  <c r="U82" i="2"/>
  <c r="T82" i="2"/>
  <c r="M82" i="2"/>
  <c r="L82" i="2"/>
  <c r="K82" i="2"/>
  <c r="J82" i="2"/>
  <c r="C82" i="2"/>
  <c r="E82" i="2" s="1"/>
  <c r="Z81" i="2"/>
  <c r="Y81" i="2"/>
  <c r="U81" i="2"/>
  <c r="M81" i="2"/>
  <c r="L81" i="2"/>
  <c r="H81" i="2"/>
  <c r="H84" i="2" s="1"/>
  <c r="K84" i="2" s="1"/>
  <c r="G81" i="2"/>
  <c r="C81" i="2"/>
  <c r="B81" i="2"/>
  <c r="Z80" i="2"/>
  <c r="Y80" i="2"/>
  <c r="T80" i="2"/>
  <c r="M80" i="2"/>
  <c r="L80" i="2"/>
  <c r="K80" i="2"/>
  <c r="J80" i="2"/>
  <c r="C80" i="2"/>
  <c r="B80" i="2"/>
  <c r="Z79" i="2"/>
  <c r="Y79" i="2"/>
  <c r="M79" i="2"/>
  <c r="L79" i="2"/>
  <c r="K79" i="2"/>
  <c r="G79" i="2"/>
  <c r="J79" i="2" s="1"/>
  <c r="C79" i="2"/>
  <c r="AB78" i="2"/>
  <c r="AE78" i="2" s="1"/>
  <c r="Z78" i="2"/>
  <c r="Y78" i="2"/>
  <c r="U78" i="2"/>
  <c r="T78" i="2"/>
  <c r="P78" i="2"/>
  <c r="L78" i="2"/>
  <c r="O78" i="2" s="1"/>
  <c r="K78" i="2"/>
  <c r="J78" i="2"/>
  <c r="F78" i="2"/>
  <c r="E78" i="2"/>
  <c r="W77" i="2"/>
  <c r="Z77" i="2" s="1"/>
  <c r="R77" i="2"/>
  <c r="G77" i="2"/>
  <c r="B77" i="2"/>
  <c r="Z76" i="2"/>
  <c r="U76" i="2"/>
  <c r="Q77" i="2"/>
  <c r="M76" i="2"/>
  <c r="L76" i="2"/>
  <c r="H76" i="2"/>
  <c r="J76" i="2" s="1"/>
  <c r="C76" i="2"/>
  <c r="C77" i="2" s="1"/>
  <c r="Z75" i="2"/>
  <c r="Y75" i="2"/>
  <c r="U75" i="2"/>
  <c r="T75" i="2"/>
  <c r="M75" i="2"/>
  <c r="L75" i="2"/>
  <c r="AA75" i="2" s="1"/>
  <c r="K75" i="2"/>
  <c r="J75" i="2"/>
  <c r="F75" i="2"/>
  <c r="E75" i="2"/>
  <c r="AB74" i="2"/>
  <c r="AE74" i="2" s="1"/>
  <c r="AA74" i="2"/>
  <c r="Z74" i="2"/>
  <c r="Y74" i="2"/>
  <c r="U74" i="2"/>
  <c r="T74" i="2"/>
  <c r="P74" i="2"/>
  <c r="O74" i="2"/>
  <c r="K74" i="2"/>
  <c r="J74" i="2"/>
  <c r="F74" i="2"/>
  <c r="E74" i="2"/>
  <c r="Z73" i="2"/>
  <c r="Y73" i="2"/>
  <c r="M73" i="2"/>
  <c r="L73" i="2"/>
  <c r="H73" i="2"/>
  <c r="G73" i="2"/>
  <c r="C73" i="2"/>
  <c r="Z72" i="2"/>
  <c r="Y72" i="2"/>
  <c r="U72" i="2"/>
  <c r="T72" i="2"/>
  <c r="M72" i="2"/>
  <c r="AB72" i="2" s="1"/>
  <c r="L72" i="2"/>
  <c r="K72" i="2"/>
  <c r="G72" i="2"/>
  <c r="J72" i="2" s="1"/>
  <c r="F72" i="2"/>
  <c r="B72" i="2"/>
  <c r="E72" i="2" s="1"/>
  <c r="Z71" i="2"/>
  <c r="Y71" i="2"/>
  <c r="U71" i="2"/>
  <c r="M71" i="2"/>
  <c r="L71" i="2"/>
  <c r="H71" i="2"/>
  <c r="G71" i="2"/>
  <c r="C71" i="2"/>
  <c r="B71" i="2"/>
  <c r="Z70" i="2"/>
  <c r="Y70" i="2"/>
  <c r="U70" i="2"/>
  <c r="T70" i="2"/>
  <c r="M70" i="2"/>
  <c r="L70" i="2"/>
  <c r="AA70" i="2" s="1"/>
  <c r="K70" i="2"/>
  <c r="J70" i="2"/>
  <c r="F70" i="2"/>
  <c r="E70" i="2"/>
  <c r="Z69" i="2"/>
  <c r="Y69" i="2"/>
  <c r="U69" i="2"/>
  <c r="T69" i="2"/>
  <c r="M69" i="2"/>
  <c r="L69" i="2"/>
  <c r="H69" i="2"/>
  <c r="G69" i="2"/>
  <c r="C69" i="2"/>
  <c r="F69" i="2" s="1"/>
  <c r="Z68" i="2"/>
  <c r="Y68" i="2"/>
  <c r="M68" i="2"/>
  <c r="L68" i="2"/>
  <c r="H68" i="2"/>
  <c r="G68" i="2"/>
  <c r="Z67" i="2"/>
  <c r="Y67" i="2"/>
  <c r="M67" i="2"/>
  <c r="L67" i="2"/>
  <c r="H67" i="2"/>
  <c r="G67" i="2"/>
  <c r="Z66" i="2"/>
  <c r="Y66" i="2"/>
  <c r="U66" i="2"/>
  <c r="T66" i="2"/>
  <c r="M66" i="2"/>
  <c r="AB66" i="2" s="1"/>
  <c r="L66" i="2"/>
  <c r="AA66" i="2" s="1"/>
  <c r="K66" i="2"/>
  <c r="J66" i="2"/>
  <c r="F66" i="2"/>
  <c r="E66" i="2"/>
  <c r="Z65" i="2"/>
  <c r="Y65" i="2"/>
  <c r="U65" i="2"/>
  <c r="M65" i="2"/>
  <c r="L65" i="2"/>
  <c r="H65" i="2"/>
  <c r="C65" i="2"/>
  <c r="F65" i="2" s="1"/>
  <c r="Z64" i="2"/>
  <c r="Y64" i="2"/>
  <c r="U64" i="2"/>
  <c r="M64" i="2"/>
  <c r="L64" i="2"/>
  <c r="H64" i="2"/>
  <c r="K64" i="2" s="1"/>
  <c r="C64" i="2"/>
  <c r="F64" i="2" s="1"/>
  <c r="Z63" i="2"/>
  <c r="Y63" i="2"/>
  <c r="U63" i="2"/>
  <c r="T63" i="2"/>
  <c r="M63" i="2"/>
  <c r="L63" i="2"/>
  <c r="AA63" i="2" s="1"/>
  <c r="K63" i="2"/>
  <c r="J63" i="2"/>
  <c r="F63" i="2"/>
  <c r="E63" i="2"/>
  <c r="Z62" i="2"/>
  <c r="Y62" i="2"/>
  <c r="M62" i="2"/>
  <c r="L62" i="2"/>
  <c r="H62" i="2"/>
  <c r="G62" i="2"/>
  <c r="C62" i="2"/>
  <c r="E62" i="2" s="1"/>
  <c r="AB61" i="2"/>
  <c r="AE61" i="2" s="1"/>
  <c r="Z61" i="2"/>
  <c r="Y61" i="2"/>
  <c r="U61" i="2"/>
  <c r="T61" i="2"/>
  <c r="P61" i="2"/>
  <c r="L61" i="2"/>
  <c r="O61" i="2" s="1"/>
  <c r="K61" i="2"/>
  <c r="J61" i="2"/>
  <c r="F61" i="2"/>
  <c r="E61" i="2"/>
  <c r="AB60" i="2"/>
  <c r="AE60" i="2" s="1"/>
  <c r="Z60" i="2"/>
  <c r="Y60" i="2"/>
  <c r="U60" i="2"/>
  <c r="T60" i="2"/>
  <c r="P60" i="2"/>
  <c r="O60" i="2"/>
  <c r="K60" i="2"/>
  <c r="G60" i="2"/>
  <c r="AA60" i="2" s="1"/>
  <c r="F60" i="2"/>
  <c r="E60" i="2"/>
  <c r="Z59" i="2"/>
  <c r="Y59" i="2"/>
  <c r="U59" i="2"/>
  <c r="T59" i="2"/>
  <c r="M59" i="2"/>
  <c r="AB59" i="2" s="1"/>
  <c r="L59" i="2"/>
  <c r="AA59" i="2" s="1"/>
  <c r="K59" i="2"/>
  <c r="J59" i="2"/>
  <c r="F59" i="2"/>
  <c r="E59" i="2"/>
  <c r="Z58" i="2"/>
  <c r="Y58" i="2"/>
  <c r="U58" i="2"/>
  <c r="T58" i="2"/>
  <c r="M58" i="2"/>
  <c r="AB58" i="2" s="1"/>
  <c r="L58" i="2"/>
  <c r="AA58" i="2" s="1"/>
  <c r="K58" i="2"/>
  <c r="J58" i="2"/>
  <c r="F58" i="2"/>
  <c r="E58" i="2"/>
  <c r="Z57" i="2"/>
  <c r="Y57" i="2"/>
  <c r="U57" i="2"/>
  <c r="T57" i="2"/>
  <c r="M57" i="2"/>
  <c r="AB57" i="2" s="1"/>
  <c r="L57" i="2"/>
  <c r="AA57" i="2" s="1"/>
  <c r="K57" i="2"/>
  <c r="J57" i="2"/>
  <c r="F57" i="2"/>
  <c r="E57" i="2"/>
  <c r="Z56" i="2"/>
  <c r="Y56" i="2"/>
  <c r="T56" i="2"/>
  <c r="M56" i="2"/>
  <c r="L56" i="2"/>
  <c r="K56" i="2"/>
  <c r="G56" i="2"/>
  <c r="F56" i="2"/>
  <c r="E56" i="2"/>
  <c r="Z55" i="2"/>
  <c r="Y55" i="2"/>
  <c r="U55" i="2"/>
  <c r="T55" i="2"/>
  <c r="M55" i="2"/>
  <c r="L55" i="2"/>
  <c r="K55" i="2"/>
  <c r="J55" i="2"/>
  <c r="C55" i="2"/>
  <c r="E55" i="2" s="1"/>
  <c r="AA54" i="2"/>
  <c r="Z54" i="2"/>
  <c r="Y54" i="2"/>
  <c r="U54" i="2"/>
  <c r="T54" i="2"/>
  <c r="M54" i="2"/>
  <c r="P54" i="2" s="1"/>
  <c r="K54" i="2"/>
  <c r="J54" i="2"/>
  <c r="F54" i="2"/>
  <c r="E54" i="2"/>
  <c r="Z53" i="2"/>
  <c r="Y53" i="2"/>
  <c r="U53" i="2"/>
  <c r="T53" i="2"/>
  <c r="M53" i="2"/>
  <c r="AB53" i="2" s="1"/>
  <c r="L53" i="2"/>
  <c r="K53" i="2"/>
  <c r="J53" i="2"/>
  <c r="F53" i="2"/>
  <c r="E53" i="2"/>
  <c r="Z52" i="2"/>
  <c r="Y52" i="2"/>
  <c r="U52" i="2"/>
  <c r="T52" i="2"/>
  <c r="M52" i="2"/>
  <c r="L52" i="2"/>
  <c r="H52" i="2"/>
  <c r="F52" i="2"/>
  <c r="AB48" i="2"/>
  <c r="AE48" i="2" s="1"/>
  <c r="Z48" i="2"/>
  <c r="Y48" i="2"/>
  <c r="U48" i="2"/>
  <c r="P48" i="2"/>
  <c r="O48" i="2"/>
  <c r="K48" i="2"/>
  <c r="J48" i="2"/>
  <c r="F48" i="2"/>
  <c r="E48" i="2"/>
  <c r="AB47" i="2"/>
  <c r="AE47" i="2" s="1"/>
  <c r="Z47" i="2"/>
  <c r="Y47" i="2"/>
  <c r="U47" i="2"/>
  <c r="T47" i="2"/>
  <c r="P47" i="2"/>
  <c r="L47" i="2"/>
  <c r="O47" i="2" s="1"/>
  <c r="K47" i="2"/>
  <c r="J47" i="2"/>
  <c r="F47" i="2"/>
  <c r="E47" i="2"/>
  <c r="AB46" i="2"/>
  <c r="AE46" i="2" s="1"/>
  <c r="Z46" i="2"/>
  <c r="Y46" i="2"/>
  <c r="U46" i="2"/>
  <c r="T46" i="2"/>
  <c r="P46" i="2"/>
  <c r="L46" i="2"/>
  <c r="O46" i="2" s="1"/>
  <c r="K46" i="2"/>
  <c r="J46" i="2"/>
  <c r="F46" i="2"/>
  <c r="E46" i="2"/>
  <c r="W45" i="2"/>
  <c r="Z45" i="2" s="1"/>
  <c r="V45" i="2"/>
  <c r="R45" i="2"/>
  <c r="U45" i="2" s="1"/>
  <c r="Q45" i="2"/>
  <c r="M45" i="2"/>
  <c r="P45" i="2" s="1"/>
  <c r="H45" i="2"/>
  <c r="K45" i="2" s="1"/>
  <c r="G45" i="2"/>
  <c r="C45" i="2"/>
  <c r="F45" i="2" s="1"/>
  <c r="B45" i="2"/>
  <c r="AB44" i="2"/>
  <c r="AE44" i="2" s="1"/>
  <c r="Z44" i="2"/>
  <c r="Y44" i="2"/>
  <c r="U44" i="2"/>
  <c r="T44" i="2"/>
  <c r="P44" i="2"/>
  <c r="L44" i="2"/>
  <c r="O44" i="2" s="1"/>
  <c r="K44" i="2"/>
  <c r="J44" i="2"/>
  <c r="F44" i="2"/>
  <c r="E44" i="2"/>
  <c r="AB43" i="2"/>
  <c r="AE43" i="2" s="1"/>
  <c r="AA43" i="2"/>
  <c r="Z43" i="2"/>
  <c r="Y43" i="2"/>
  <c r="U43" i="2"/>
  <c r="T43" i="2"/>
  <c r="P43" i="2"/>
  <c r="O43" i="2"/>
  <c r="K43" i="2"/>
  <c r="J43" i="2"/>
  <c r="F43" i="2"/>
  <c r="E43" i="2"/>
  <c r="AB42" i="2"/>
  <c r="AE42" i="2" s="1"/>
  <c r="Z42" i="2"/>
  <c r="Y42" i="2"/>
  <c r="U42" i="2"/>
  <c r="T42" i="2"/>
  <c r="P42" i="2"/>
  <c r="AA42" i="2"/>
  <c r="K42" i="2"/>
  <c r="J42" i="2"/>
  <c r="F42" i="2"/>
  <c r="E42" i="2"/>
  <c r="Z41" i="2"/>
  <c r="Y41" i="2"/>
  <c r="U41" i="2"/>
  <c r="T41" i="2"/>
  <c r="M41" i="2"/>
  <c r="L41" i="2"/>
  <c r="AA41" i="2" s="1"/>
  <c r="K41" i="2"/>
  <c r="J41" i="2"/>
  <c r="F41" i="2"/>
  <c r="E41" i="2"/>
  <c r="W40" i="2"/>
  <c r="Z40" i="2" s="1"/>
  <c r="V40" i="2"/>
  <c r="R40" i="2"/>
  <c r="U40" i="2" s="1"/>
  <c r="H40" i="2"/>
  <c r="K40" i="2" s="1"/>
  <c r="G40" i="2"/>
  <c r="C40" i="2"/>
  <c r="F40" i="2" s="1"/>
  <c r="B40" i="2"/>
  <c r="AA39" i="2"/>
  <c r="Z39" i="2"/>
  <c r="Y39" i="2"/>
  <c r="U39" i="2"/>
  <c r="T39" i="2"/>
  <c r="M39" i="2"/>
  <c r="AB39" i="2" s="1"/>
  <c r="AF39" i="2" s="1"/>
  <c r="K39" i="2"/>
  <c r="J39" i="2"/>
  <c r="F39" i="2"/>
  <c r="E39" i="2"/>
  <c r="Z38" i="2"/>
  <c r="Y38" i="2"/>
  <c r="U38" i="2"/>
  <c r="T38" i="2"/>
  <c r="M38" i="2"/>
  <c r="AB38" i="2" s="1"/>
  <c r="L38" i="2"/>
  <c r="K38" i="2"/>
  <c r="J38" i="2"/>
  <c r="F38" i="2"/>
  <c r="E38" i="2"/>
  <c r="Z37" i="2"/>
  <c r="Y37" i="2"/>
  <c r="U37" i="2"/>
  <c r="T37" i="2"/>
  <c r="M37" i="2"/>
  <c r="AB37" i="2" s="1"/>
  <c r="L37" i="2"/>
  <c r="K37" i="2"/>
  <c r="J37" i="2"/>
  <c r="F37" i="2"/>
  <c r="E37" i="2"/>
  <c r="W36" i="2"/>
  <c r="V36" i="2"/>
  <c r="H36" i="2"/>
  <c r="K36" i="2" s="1"/>
  <c r="G36" i="2"/>
  <c r="AA35" i="2"/>
  <c r="Z35" i="2"/>
  <c r="Y35" i="2"/>
  <c r="U35" i="2"/>
  <c r="M35" i="2"/>
  <c r="O35" i="2" s="1"/>
  <c r="K35" i="2"/>
  <c r="J35" i="2"/>
  <c r="C35" i="2"/>
  <c r="F35" i="2" s="1"/>
  <c r="AA34" i="2"/>
  <c r="Z34" i="2"/>
  <c r="Y34" i="2"/>
  <c r="U34" i="2"/>
  <c r="T34" i="2"/>
  <c r="M34" i="2"/>
  <c r="P34" i="2" s="1"/>
  <c r="K34" i="2"/>
  <c r="J34" i="2"/>
  <c r="C34" i="2"/>
  <c r="AB33" i="2"/>
  <c r="AE33" i="2" s="1"/>
  <c r="Z33" i="2"/>
  <c r="Y33" i="2"/>
  <c r="Y36" i="2" s="1"/>
  <c r="U33" i="2"/>
  <c r="Q36" i="2"/>
  <c r="P33" i="2"/>
  <c r="L33" i="2"/>
  <c r="L36" i="2" s="1"/>
  <c r="K33" i="2"/>
  <c r="J33" i="2"/>
  <c r="F33" i="2"/>
  <c r="E33" i="2"/>
  <c r="Z32" i="2"/>
  <c r="Y32" i="2"/>
  <c r="AA32" i="2"/>
  <c r="M32" i="2"/>
  <c r="K32" i="2"/>
  <c r="J32" i="2"/>
  <c r="F32" i="2"/>
  <c r="E32" i="2"/>
  <c r="W31" i="2"/>
  <c r="Z31" i="2" s="1"/>
  <c r="V31" i="2"/>
  <c r="R31" i="2"/>
  <c r="U31" i="2" s="1"/>
  <c r="Q31" i="2"/>
  <c r="L31" i="2"/>
  <c r="C31" i="2"/>
  <c r="B31" i="2"/>
  <c r="AA30" i="2"/>
  <c r="Z30" i="2"/>
  <c r="Y30" i="2"/>
  <c r="U30" i="2"/>
  <c r="T30" i="2"/>
  <c r="M30" i="2"/>
  <c r="K30" i="2"/>
  <c r="J30" i="2"/>
  <c r="F30" i="2"/>
  <c r="E30" i="2"/>
  <c r="Z29" i="2"/>
  <c r="Y29" i="2"/>
  <c r="U29" i="2"/>
  <c r="T29" i="2"/>
  <c r="P29" i="2"/>
  <c r="O29" i="2"/>
  <c r="H29" i="2"/>
  <c r="AB29" i="2" s="1"/>
  <c r="G29" i="2"/>
  <c r="AA29" i="2" s="1"/>
  <c r="F29" i="2"/>
  <c r="E29" i="2"/>
  <c r="Z28" i="2"/>
  <c r="Y28" i="2"/>
  <c r="U28" i="2"/>
  <c r="T28" i="2"/>
  <c r="P28" i="2"/>
  <c r="O28" i="2"/>
  <c r="H28" i="2"/>
  <c r="G28" i="2"/>
  <c r="AA28" i="2" s="1"/>
  <c r="F28" i="2"/>
  <c r="E28" i="2"/>
  <c r="AB27" i="2"/>
  <c r="AE27" i="2" s="1"/>
  <c r="Z27" i="2"/>
  <c r="Y27" i="2"/>
  <c r="U27" i="2"/>
  <c r="T27" i="2"/>
  <c r="P27" i="2"/>
  <c r="O27" i="2"/>
  <c r="K27" i="2"/>
  <c r="G27" i="2"/>
  <c r="F27" i="2"/>
  <c r="E27" i="2"/>
  <c r="W26" i="2"/>
  <c r="Z26" i="2" s="1"/>
  <c r="V26" i="2"/>
  <c r="M26" i="2"/>
  <c r="L26" i="2"/>
  <c r="H26" i="2"/>
  <c r="K26" i="2" s="1"/>
  <c r="G26" i="2"/>
  <c r="C26" i="2"/>
  <c r="Z25" i="2"/>
  <c r="Y25" i="2"/>
  <c r="AB25" i="2"/>
  <c r="AA25" i="2"/>
  <c r="P25" i="2"/>
  <c r="O25" i="2"/>
  <c r="K25" i="2"/>
  <c r="J25" i="2"/>
  <c r="F25" i="2"/>
  <c r="E25" i="2"/>
  <c r="Z24" i="2"/>
  <c r="Y24" i="2"/>
  <c r="AB24" i="2"/>
  <c r="P24" i="2"/>
  <c r="O24" i="2"/>
  <c r="K24" i="2"/>
  <c r="J24" i="2"/>
  <c r="F24" i="2"/>
  <c r="Z23" i="2"/>
  <c r="Y23" i="2"/>
  <c r="AB23" i="2"/>
  <c r="P23" i="2"/>
  <c r="O23" i="2"/>
  <c r="K23" i="2"/>
  <c r="J23" i="2"/>
  <c r="F23" i="2"/>
  <c r="E23" i="2"/>
  <c r="Z22" i="2"/>
  <c r="Y22" i="2"/>
  <c r="AB22" i="2"/>
  <c r="P22" i="2"/>
  <c r="O22" i="2"/>
  <c r="K22" i="2"/>
  <c r="J22" i="2"/>
  <c r="F22" i="2"/>
  <c r="E22" i="2"/>
  <c r="Z21" i="2"/>
  <c r="Y21" i="2"/>
  <c r="AB21" i="2"/>
  <c r="P21" i="2"/>
  <c r="O21" i="2"/>
  <c r="K21" i="2"/>
  <c r="J21" i="2"/>
  <c r="F21" i="2"/>
  <c r="E21" i="2"/>
  <c r="AA20" i="2"/>
  <c r="Z20" i="2"/>
  <c r="Y20" i="2"/>
  <c r="T20" i="2"/>
  <c r="P20" i="2"/>
  <c r="O20" i="2"/>
  <c r="K20" i="2"/>
  <c r="J20" i="2"/>
  <c r="F20" i="2"/>
  <c r="E20" i="2"/>
  <c r="Z19" i="2"/>
  <c r="Y19" i="2"/>
  <c r="AB19" i="2"/>
  <c r="P19" i="2"/>
  <c r="O19" i="2"/>
  <c r="K19" i="2"/>
  <c r="J19" i="2"/>
  <c r="F19" i="2"/>
  <c r="E19" i="2"/>
  <c r="AB18" i="2"/>
  <c r="AE18" i="2" s="1"/>
  <c r="AA18" i="2"/>
  <c r="Z18" i="2"/>
  <c r="Y18" i="2"/>
  <c r="U18" i="2"/>
  <c r="T18" i="2"/>
  <c r="P18" i="2"/>
  <c r="O18" i="2"/>
  <c r="K18" i="2"/>
  <c r="J18" i="2"/>
  <c r="F18" i="2"/>
  <c r="E18" i="2"/>
  <c r="W17" i="2"/>
  <c r="Z17" i="2" s="1"/>
  <c r="V17" i="2"/>
  <c r="R17" i="2"/>
  <c r="U17" i="2" s="1"/>
  <c r="Q17" i="2"/>
  <c r="L17" i="2"/>
  <c r="H17" i="2"/>
  <c r="K17" i="2" s="1"/>
  <c r="G17" i="2"/>
  <c r="AB16" i="2"/>
  <c r="AE16" i="2" s="1"/>
  <c r="Z16" i="2"/>
  <c r="Y16" i="2"/>
  <c r="U16" i="2"/>
  <c r="T16" i="2"/>
  <c r="P16" i="2"/>
  <c r="O16" i="2"/>
  <c r="K16" i="2"/>
  <c r="J16" i="2"/>
  <c r="F16" i="2"/>
  <c r="B16" i="2"/>
  <c r="AA16" i="2" s="1"/>
  <c r="AA15" i="2"/>
  <c r="Z15" i="2"/>
  <c r="Y15" i="2"/>
  <c r="U15" i="2"/>
  <c r="T15" i="2"/>
  <c r="M15" i="2"/>
  <c r="K15" i="2"/>
  <c r="J15" i="2"/>
  <c r="C15" i="2"/>
  <c r="E15" i="2" s="1"/>
  <c r="Z14" i="2"/>
  <c r="Y14" i="2"/>
  <c r="U14" i="2"/>
  <c r="T14" i="2"/>
  <c r="M14" i="2"/>
  <c r="K14" i="2"/>
  <c r="J14" i="2"/>
  <c r="C14" i="2"/>
  <c r="B14" i="2"/>
  <c r="AA14" i="2" s="1"/>
  <c r="AB13" i="2"/>
  <c r="AE13" i="2" s="1"/>
  <c r="Z13" i="2"/>
  <c r="Y13" i="2"/>
  <c r="U13" i="2"/>
  <c r="T13" i="2"/>
  <c r="P13" i="2"/>
  <c r="O13" i="2"/>
  <c r="K13" i="2"/>
  <c r="J13" i="2"/>
  <c r="F13" i="2"/>
  <c r="B13" i="2"/>
  <c r="AA13" i="2" s="1"/>
  <c r="W12" i="2"/>
  <c r="Z12" i="2" s="1"/>
  <c r="V12" i="2"/>
  <c r="R12" i="2"/>
  <c r="U12" i="2" s="1"/>
  <c r="H12" i="2"/>
  <c r="K12" i="2" s="1"/>
  <c r="G12" i="2"/>
  <c r="C12" i="2"/>
  <c r="B12" i="2"/>
  <c r="Z11" i="2"/>
  <c r="Y11" i="2"/>
  <c r="U11" i="2"/>
  <c r="T11" i="2"/>
  <c r="M11" i="2"/>
  <c r="AB11" i="2" s="1"/>
  <c r="L11" i="2"/>
  <c r="AA11" i="2" s="1"/>
  <c r="K11" i="2"/>
  <c r="J11" i="2"/>
  <c r="F11" i="2"/>
  <c r="E11" i="2"/>
  <c r="Z10" i="2"/>
  <c r="Y10" i="2"/>
  <c r="U10" i="2"/>
  <c r="Q10" i="2"/>
  <c r="Q12" i="2" s="1"/>
  <c r="M10" i="2"/>
  <c r="AB10" i="2" s="1"/>
  <c r="L10" i="2"/>
  <c r="K10" i="2"/>
  <c r="J10" i="2"/>
  <c r="F10" i="2"/>
  <c r="E10" i="2"/>
  <c r="Z9" i="2"/>
  <c r="Y9" i="2"/>
  <c r="U9" i="2"/>
  <c r="T9" i="2"/>
  <c r="M9" i="2"/>
  <c r="AB9" i="2" s="1"/>
  <c r="L9" i="2"/>
  <c r="AA9" i="2" s="1"/>
  <c r="K9" i="2"/>
  <c r="J9" i="2"/>
  <c r="F9" i="2"/>
  <c r="E9" i="2"/>
  <c r="AA8" i="2"/>
  <c r="Z8" i="2"/>
  <c r="Y8" i="2"/>
  <c r="U8" i="2"/>
  <c r="T8" i="2"/>
  <c r="M8" i="2"/>
  <c r="AB8" i="2" s="1"/>
  <c r="K8" i="2"/>
  <c r="J8" i="2"/>
  <c r="F8" i="2"/>
  <c r="E8" i="2"/>
  <c r="S139" i="1"/>
  <c r="U139" i="1" s="1"/>
  <c r="Q139" i="1"/>
  <c r="O139" i="1"/>
  <c r="N139" i="1"/>
  <c r="P139" i="1" s="1"/>
  <c r="K139" i="1"/>
  <c r="M139" i="1" s="1"/>
  <c r="J139" i="1"/>
  <c r="I139" i="1"/>
  <c r="G139" i="1"/>
  <c r="F139" i="1"/>
  <c r="H139" i="1" s="1"/>
  <c r="C139" i="1"/>
  <c r="B139" i="1"/>
  <c r="D139" i="1" s="1"/>
  <c r="Y138" i="1"/>
  <c r="W138" i="1"/>
  <c r="U138" i="1"/>
  <c r="R138" i="1"/>
  <c r="Q138" i="1"/>
  <c r="P138" i="1"/>
  <c r="N138" i="1"/>
  <c r="M138" i="1"/>
  <c r="L138" i="1"/>
  <c r="I138" i="1"/>
  <c r="H138" i="1"/>
  <c r="E138" i="1"/>
  <c r="D138" i="1"/>
  <c r="S136" i="1"/>
  <c r="U136" i="1" s="1"/>
  <c r="Q136" i="1"/>
  <c r="O136" i="1"/>
  <c r="O140" i="1" s="1"/>
  <c r="Q140" i="1" s="1"/>
  <c r="N136" i="1"/>
  <c r="P136" i="1" s="1"/>
  <c r="K136" i="1"/>
  <c r="K140" i="1" s="1"/>
  <c r="I136" i="1"/>
  <c r="G136" i="1"/>
  <c r="G140" i="1" s="1"/>
  <c r="I140" i="1" s="1"/>
  <c r="F136" i="1"/>
  <c r="H136" i="1" s="1"/>
  <c r="C136" i="1"/>
  <c r="B136" i="1"/>
  <c r="D136" i="1" s="1"/>
  <c r="U135" i="1"/>
  <c r="T135" i="1"/>
  <c r="Q135" i="1"/>
  <c r="P135" i="1"/>
  <c r="M135" i="1"/>
  <c r="K135" i="1"/>
  <c r="W135" i="1" s="1"/>
  <c r="J135" i="1"/>
  <c r="L135" i="1" s="1"/>
  <c r="I135" i="1"/>
  <c r="H135" i="1"/>
  <c r="E135" i="1"/>
  <c r="D135" i="1"/>
  <c r="U134" i="1"/>
  <c r="R134" i="1"/>
  <c r="Q134" i="1"/>
  <c r="P134" i="1"/>
  <c r="K134" i="1"/>
  <c r="M134" i="1" s="1"/>
  <c r="J134" i="1"/>
  <c r="L134" i="1" s="1"/>
  <c r="I134" i="1"/>
  <c r="H134" i="1"/>
  <c r="E134" i="1"/>
  <c r="D134" i="1"/>
  <c r="W130" i="1"/>
  <c r="Y130" i="1" s="1"/>
  <c r="U130" i="1"/>
  <c r="T130" i="1"/>
  <c r="Q130" i="1"/>
  <c r="P130" i="1"/>
  <c r="M130" i="1"/>
  <c r="J130" i="1"/>
  <c r="L130" i="1" s="1"/>
  <c r="I130" i="1"/>
  <c r="H130" i="1"/>
  <c r="E130" i="1"/>
  <c r="D130" i="1"/>
  <c r="Y129" i="1"/>
  <c r="W129" i="1"/>
  <c r="V129" i="1"/>
  <c r="X129" i="1" s="1"/>
  <c r="U129" i="1"/>
  <c r="T129" i="1"/>
  <c r="Q129" i="1"/>
  <c r="P129" i="1"/>
  <c r="M129" i="1"/>
  <c r="J129" i="1"/>
  <c r="L129" i="1" s="1"/>
  <c r="I129" i="1"/>
  <c r="H129" i="1"/>
  <c r="E129" i="1"/>
  <c r="D129" i="1"/>
  <c r="V128" i="1"/>
  <c r="U128" i="1"/>
  <c r="T128" i="1"/>
  <c r="Q128" i="1"/>
  <c r="P128" i="1"/>
  <c r="M128" i="1"/>
  <c r="L128" i="1"/>
  <c r="K128" i="1"/>
  <c r="H128" i="1"/>
  <c r="G128" i="1"/>
  <c r="I128" i="1" s="1"/>
  <c r="D128" i="1"/>
  <c r="C128" i="1"/>
  <c r="W128" i="1" s="1"/>
  <c r="S127" i="1"/>
  <c r="U127" i="1" s="1"/>
  <c r="R127" i="1"/>
  <c r="T127" i="1" s="1"/>
  <c r="Q127" i="1"/>
  <c r="O127" i="1"/>
  <c r="N127" i="1"/>
  <c r="P127" i="1" s="1"/>
  <c r="K127" i="1"/>
  <c r="M127" i="1" s="1"/>
  <c r="I127" i="1"/>
  <c r="G127" i="1"/>
  <c r="F127" i="1"/>
  <c r="H127" i="1" s="1"/>
  <c r="C127" i="1"/>
  <c r="B127" i="1"/>
  <c r="U126" i="1"/>
  <c r="T126" i="1"/>
  <c r="Q126" i="1"/>
  <c r="P126" i="1"/>
  <c r="M126" i="1"/>
  <c r="K126" i="1"/>
  <c r="W126" i="1" s="1"/>
  <c r="Y126" i="1" s="1"/>
  <c r="J126" i="1"/>
  <c r="L126" i="1" s="1"/>
  <c r="I126" i="1"/>
  <c r="H126" i="1"/>
  <c r="E126" i="1"/>
  <c r="D126" i="1"/>
  <c r="V125" i="1"/>
  <c r="U125" i="1"/>
  <c r="T125" i="1"/>
  <c r="Q125" i="1"/>
  <c r="P125" i="1"/>
  <c r="M125" i="1"/>
  <c r="K125" i="1"/>
  <c r="L125" i="1" s="1"/>
  <c r="I125" i="1"/>
  <c r="H125" i="1"/>
  <c r="E125" i="1"/>
  <c r="D125" i="1"/>
  <c r="Y124" i="1"/>
  <c r="X124" i="1"/>
  <c r="W124" i="1"/>
  <c r="V124" i="1"/>
  <c r="U124" i="1"/>
  <c r="T124" i="1"/>
  <c r="Q124" i="1"/>
  <c r="P124" i="1"/>
  <c r="M124" i="1"/>
  <c r="L124" i="1"/>
  <c r="I124" i="1"/>
  <c r="H124" i="1"/>
  <c r="E124" i="1"/>
  <c r="D124" i="1"/>
  <c r="V123" i="1"/>
  <c r="U123" i="1"/>
  <c r="T123" i="1"/>
  <c r="Q123" i="1"/>
  <c r="P123" i="1"/>
  <c r="L123" i="1"/>
  <c r="K123" i="1"/>
  <c r="M123" i="1" s="1"/>
  <c r="I123" i="1"/>
  <c r="H123" i="1"/>
  <c r="E123" i="1"/>
  <c r="D123" i="1"/>
  <c r="W122" i="1"/>
  <c r="Y122" i="1" s="1"/>
  <c r="U122" i="1"/>
  <c r="T122" i="1"/>
  <c r="Q122" i="1"/>
  <c r="P122" i="1"/>
  <c r="M122" i="1"/>
  <c r="L122" i="1"/>
  <c r="I122" i="1"/>
  <c r="F122" i="1"/>
  <c r="V122" i="1" s="1"/>
  <c r="X122" i="1" s="1"/>
  <c r="E122" i="1"/>
  <c r="D122" i="1"/>
  <c r="Y121" i="1"/>
  <c r="W121" i="1"/>
  <c r="V121" i="1"/>
  <c r="X121" i="1" s="1"/>
  <c r="U121" i="1"/>
  <c r="T121" i="1"/>
  <c r="Q121" i="1"/>
  <c r="P121" i="1"/>
  <c r="M121" i="1"/>
  <c r="L121" i="1"/>
  <c r="J121" i="1"/>
  <c r="I121" i="1"/>
  <c r="H121" i="1"/>
  <c r="E121" i="1"/>
  <c r="B121" i="1"/>
  <c r="D121" i="1" s="1"/>
  <c r="Y120" i="1"/>
  <c r="W120" i="1"/>
  <c r="V120" i="1"/>
  <c r="X120" i="1" s="1"/>
  <c r="U120" i="1"/>
  <c r="T120" i="1"/>
  <c r="Q120" i="1"/>
  <c r="P120" i="1"/>
  <c r="M120" i="1"/>
  <c r="L120" i="1"/>
  <c r="J120" i="1"/>
  <c r="I120" i="1"/>
  <c r="H120" i="1"/>
  <c r="E120" i="1"/>
  <c r="D120" i="1"/>
  <c r="W119" i="1"/>
  <c r="Y119" i="1" s="1"/>
  <c r="U119" i="1"/>
  <c r="T119" i="1"/>
  <c r="Q119" i="1"/>
  <c r="N119" i="1"/>
  <c r="P119" i="1" s="1"/>
  <c r="M119" i="1"/>
  <c r="L119" i="1"/>
  <c r="I119" i="1"/>
  <c r="H119" i="1"/>
  <c r="E119" i="1"/>
  <c r="D119" i="1"/>
  <c r="W118" i="1"/>
  <c r="Y118" i="1" s="1"/>
  <c r="V118" i="1"/>
  <c r="X118" i="1" s="1"/>
  <c r="U118" i="1"/>
  <c r="T118" i="1"/>
  <c r="Q118" i="1"/>
  <c r="P118" i="1"/>
  <c r="M118" i="1"/>
  <c r="L118" i="1"/>
  <c r="I118" i="1"/>
  <c r="H118" i="1"/>
  <c r="F118" i="1"/>
  <c r="E118" i="1"/>
  <c r="D118" i="1"/>
  <c r="U117" i="1"/>
  <c r="T117" i="1"/>
  <c r="Q117" i="1"/>
  <c r="P117" i="1"/>
  <c r="K117" i="1"/>
  <c r="W117" i="1" s="1"/>
  <c r="J117" i="1"/>
  <c r="M117" i="1" s="1"/>
  <c r="I117" i="1"/>
  <c r="F117" i="1"/>
  <c r="E117" i="1"/>
  <c r="D117" i="1"/>
  <c r="C117" i="1"/>
  <c r="B117" i="1"/>
  <c r="Y116" i="1"/>
  <c r="W116" i="1"/>
  <c r="V116" i="1"/>
  <c r="X116" i="1" s="1"/>
  <c r="U116" i="1"/>
  <c r="T116" i="1"/>
  <c r="Q116" i="1"/>
  <c r="N116" i="1"/>
  <c r="P116" i="1" s="1"/>
  <c r="M116" i="1"/>
  <c r="J116" i="1"/>
  <c r="L116" i="1" s="1"/>
  <c r="I116" i="1"/>
  <c r="H116" i="1"/>
  <c r="E116" i="1"/>
  <c r="D116" i="1"/>
  <c r="V115" i="1"/>
  <c r="U115" i="1"/>
  <c r="T115" i="1"/>
  <c r="O115" i="1"/>
  <c r="Q115" i="1" s="1"/>
  <c r="N115" i="1"/>
  <c r="P115" i="1" s="1"/>
  <c r="M115" i="1"/>
  <c r="L115" i="1"/>
  <c r="J115" i="1"/>
  <c r="I115" i="1"/>
  <c r="G115" i="1"/>
  <c r="F115" i="1"/>
  <c r="H115" i="1" s="1"/>
  <c r="C115" i="1"/>
  <c r="U114" i="1"/>
  <c r="T114" i="1"/>
  <c r="Q114" i="1"/>
  <c r="P114" i="1"/>
  <c r="M114" i="1"/>
  <c r="L114" i="1"/>
  <c r="K114" i="1"/>
  <c r="I114" i="1"/>
  <c r="H114" i="1"/>
  <c r="C114" i="1"/>
  <c r="B114" i="1"/>
  <c r="V114" i="1" s="1"/>
  <c r="S113" i="1"/>
  <c r="U113" i="1" s="1"/>
  <c r="R113" i="1"/>
  <c r="T113" i="1" s="1"/>
  <c r="K113" i="1"/>
  <c r="G113" i="1"/>
  <c r="C113" i="1"/>
  <c r="V112" i="1"/>
  <c r="U112" i="1"/>
  <c r="T112" i="1"/>
  <c r="Q112" i="1"/>
  <c r="P112" i="1"/>
  <c r="M112" i="1"/>
  <c r="K112" i="1"/>
  <c r="L112" i="1" s="1"/>
  <c r="I112" i="1"/>
  <c r="H112" i="1"/>
  <c r="E112" i="1"/>
  <c r="D112" i="1"/>
  <c r="U111" i="1"/>
  <c r="T111" i="1"/>
  <c r="P111" i="1"/>
  <c r="O111" i="1"/>
  <c r="Q111" i="1" s="1"/>
  <c r="N111" i="1"/>
  <c r="K111" i="1"/>
  <c r="M111" i="1" s="1"/>
  <c r="I111" i="1"/>
  <c r="F111" i="1"/>
  <c r="E111" i="1"/>
  <c r="D111" i="1"/>
  <c r="C111" i="1"/>
  <c r="W111" i="1" s="1"/>
  <c r="U110" i="1"/>
  <c r="T110" i="1"/>
  <c r="Q110" i="1"/>
  <c r="P110" i="1"/>
  <c r="L110" i="1"/>
  <c r="K110" i="1"/>
  <c r="M110" i="1" s="1"/>
  <c r="J110" i="1"/>
  <c r="V110" i="1" s="1"/>
  <c r="I110" i="1"/>
  <c r="H110" i="1"/>
  <c r="E110" i="1"/>
  <c r="D110" i="1"/>
  <c r="W109" i="1"/>
  <c r="U109" i="1"/>
  <c r="T109" i="1"/>
  <c r="Q109" i="1"/>
  <c r="O109" i="1"/>
  <c r="P109" i="1" s="1"/>
  <c r="K109" i="1"/>
  <c r="J109" i="1"/>
  <c r="I109" i="1"/>
  <c r="H109" i="1"/>
  <c r="G109" i="1"/>
  <c r="F109" i="1"/>
  <c r="C109" i="1"/>
  <c r="B109" i="1"/>
  <c r="U108" i="1"/>
  <c r="T108" i="1"/>
  <c r="Q108" i="1"/>
  <c r="P108" i="1"/>
  <c r="N108" i="1"/>
  <c r="N113" i="1" s="1"/>
  <c r="K108" i="1"/>
  <c r="W108" i="1" s="1"/>
  <c r="J108" i="1"/>
  <c r="M108" i="1" s="1"/>
  <c r="I108" i="1"/>
  <c r="H108" i="1"/>
  <c r="E108" i="1"/>
  <c r="D108" i="1"/>
  <c r="B108" i="1"/>
  <c r="V108" i="1" s="1"/>
  <c r="X108" i="1" s="1"/>
  <c r="U107" i="1"/>
  <c r="T107" i="1"/>
  <c r="Q107" i="1"/>
  <c r="P107" i="1"/>
  <c r="K107" i="1"/>
  <c r="M107" i="1" s="1"/>
  <c r="J107" i="1"/>
  <c r="L107" i="1" s="1"/>
  <c r="I107" i="1"/>
  <c r="H107" i="1"/>
  <c r="E107" i="1"/>
  <c r="D107" i="1"/>
  <c r="W106" i="1"/>
  <c r="Y106" i="1" s="1"/>
  <c r="U106" i="1"/>
  <c r="T106" i="1"/>
  <c r="Q106" i="1"/>
  <c r="P106" i="1"/>
  <c r="N106" i="1"/>
  <c r="M106" i="1"/>
  <c r="L106" i="1"/>
  <c r="J106" i="1"/>
  <c r="V106" i="1" s="1"/>
  <c r="X106" i="1" s="1"/>
  <c r="I106" i="1"/>
  <c r="H106" i="1"/>
  <c r="E106" i="1"/>
  <c r="D106" i="1"/>
  <c r="B106" i="1"/>
  <c r="U105" i="1"/>
  <c r="T105" i="1"/>
  <c r="S105" i="1"/>
  <c r="R105" i="1"/>
  <c r="O105" i="1"/>
  <c r="Q105" i="1" s="1"/>
  <c r="G105" i="1"/>
  <c r="I105" i="1" s="1"/>
  <c r="E105" i="1"/>
  <c r="W104" i="1"/>
  <c r="Y104" i="1" s="1"/>
  <c r="U104" i="1"/>
  <c r="T104" i="1"/>
  <c r="Q104" i="1"/>
  <c r="N104" i="1"/>
  <c r="P104" i="1" s="1"/>
  <c r="K104" i="1"/>
  <c r="J104" i="1"/>
  <c r="I104" i="1"/>
  <c r="H104" i="1"/>
  <c r="F104" i="1"/>
  <c r="E104" i="1"/>
  <c r="D104" i="1"/>
  <c r="B104" i="1"/>
  <c r="V104" i="1" s="1"/>
  <c r="X104" i="1" s="1"/>
  <c r="U103" i="1"/>
  <c r="T103" i="1"/>
  <c r="Q103" i="1"/>
  <c r="P103" i="1"/>
  <c r="L103" i="1"/>
  <c r="K103" i="1"/>
  <c r="M103" i="1" s="1"/>
  <c r="J103" i="1"/>
  <c r="V103" i="1" s="1"/>
  <c r="I103" i="1"/>
  <c r="H103" i="1"/>
  <c r="E103" i="1"/>
  <c r="D103" i="1"/>
  <c r="B103" i="1"/>
  <c r="W102" i="1"/>
  <c r="U102" i="1"/>
  <c r="T102" i="1"/>
  <c r="Q102" i="1"/>
  <c r="N102" i="1"/>
  <c r="M102" i="1"/>
  <c r="L102" i="1"/>
  <c r="K102" i="1"/>
  <c r="J102" i="1"/>
  <c r="I102" i="1"/>
  <c r="H102" i="1"/>
  <c r="F102" i="1"/>
  <c r="E102" i="1"/>
  <c r="D102" i="1"/>
  <c r="B102" i="1"/>
  <c r="W101" i="1"/>
  <c r="U101" i="1"/>
  <c r="T101" i="1"/>
  <c r="Q101" i="1"/>
  <c r="P101" i="1"/>
  <c r="N101" i="1"/>
  <c r="L101" i="1"/>
  <c r="K101" i="1"/>
  <c r="K105" i="1" s="1"/>
  <c r="J101" i="1"/>
  <c r="I101" i="1"/>
  <c r="H101" i="1"/>
  <c r="F101" i="1"/>
  <c r="F105" i="1" s="1"/>
  <c r="H105" i="1" s="1"/>
  <c r="E101" i="1"/>
  <c r="B101" i="1"/>
  <c r="B105" i="1" s="1"/>
  <c r="W100" i="1"/>
  <c r="U100" i="1"/>
  <c r="T100" i="1"/>
  <c r="Q100" i="1"/>
  <c r="P100" i="1"/>
  <c r="M100" i="1"/>
  <c r="J100" i="1"/>
  <c r="I100" i="1"/>
  <c r="H100" i="1"/>
  <c r="C100" i="1"/>
  <c r="C105" i="1" s="1"/>
  <c r="W105" i="1" s="1"/>
  <c r="U99" i="1"/>
  <c r="S99" i="1"/>
  <c r="R99" i="1"/>
  <c r="T99" i="1" s="1"/>
  <c r="O99" i="1"/>
  <c r="Q99" i="1" s="1"/>
  <c r="N99" i="1"/>
  <c r="P99" i="1" s="1"/>
  <c r="G99" i="1"/>
  <c r="F99" i="1"/>
  <c r="E99" i="1"/>
  <c r="C99" i="1"/>
  <c r="U98" i="1"/>
  <c r="T98" i="1"/>
  <c r="Q98" i="1"/>
  <c r="P98" i="1"/>
  <c r="K98" i="1"/>
  <c r="M98" i="1" s="1"/>
  <c r="J98" i="1"/>
  <c r="I98" i="1"/>
  <c r="H98" i="1"/>
  <c r="E98" i="1"/>
  <c r="D98" i="1"/>
  <c r="W97" i="1"/>
  <c r="Y97" i="1" s="1"/>
  <c r="V97" i="1"/>
  <c r="U97" i="1"/>
  <c r="T97" i="1"/>
  <c r="Q97" i="1"/>
  <c r="P97" i="1"/>
  <c r="K97" i="1"/>
  <c r="I97" i="1"/>
  <c r="H97" i="1"/>
  <c r="E97" i="1"/>
  <c r="D97" i="1"/>
  <c r="U96" i="1"/>
  <c r="T96" i="1"/>
  <c r="Q96" i="1"/>
  <c r="P96" i="1"/>
  <c r="K96" i="1"/>
  <c r="W96" i="1" s="1"/>
  <c r="J96" i="1"/>
  <c r="I96" i="1"/>
  <c r="H96" i="1"/>
  <c r="E96" i="1"/>
  <c r="D96" i="1"/>
  <c r="V95" i="1"/>
  <c r="U95" i="1"/>
  <c r="T95" i="1"/>
  <c r="Q95" i="1"/>
  <c r="P95" i="1"/>
  <c r="K95" i="1"/>
  <c r="W95" i="1" s="1"/>
  <c r="Y95" i="1" s="1"/>
  <c r="J95" i="1"/>
  <c r="I95" i="1"/>
  <c r="H95" i="1"/>
  <c r="E95" i="1"/>
  <c r="B95" i="1"/>
  <c r="D95" i="1" s="1"/>
  <c r="W94" i="1"/>
  <c r="U94" i="1"/>
  <c r="T94" i="1"/>
  <c r="Q94" i="1"/>
  <c r="P94" i="1"/>
  <c r="K94" i="1"/>
  <c r="J94" i="1"/>
  <c r="I94" i="1"/>
  <c r="H94" i="1"/>
  <c r="E94" i="1"/>
  <c r="D94" i="1"/>
  <c r="V93" i="1"/>
  <c r="U93" i="1"/>
  <c r="T93" i="1"/>
  <c r="Q93" i="1"/>
  <c r="P93" i="1"/>
  <c r="K93" i="1"/>
  <c r="M93" i="1" s="1"/>
  <c r="J93" i="1"/>
  <c r="I93" i="1"/>
  <c r="H93" i="1"/>
  <c r="E93" i="1"/>
  <c r="D93" i="1"/>
  <c r="W92" i="1"/>
  <c r="U92" i="1"/>
  <c r="T92" i="1"/>
  <c r="Q92" i="1"/>
  <c r="P92" i="1"/>
  <c r="K92" i="1"/>
  <c r="J92" i="1"/>
  <c r="I92" i="1"/>
  <c r="H92" i="1"/>
  <c r="E92" i="1"/>
  <c r="D92" i="1"/>
  <c r="V91" i="1"/>
  <c r="U91" i="1"/>
  <c r="T91" i="1"/>
  <c r="Q91" i="1"/>
  <c r="P91" i="1"/>
  <c r="K91" i="1"/>
  <c r="M91" i="1" s="1"/>
  <c r="J91" i="1"/>
  <c r="I91" i="1"/>
  <c r="H91" i="1"/>
  <c r="E91" i="1"/>
  <c r="D91" i="1"/>
  <c r="W90" i="1"/>
  <c r="U90" i="1"/>
  <c r="T90" i="1"/>
  <c r="Q90" i="1"/>
  <c r="P90" i="1"/>
  <c r="K90" i="1"/>
  <c r="J90" i="1"/>
  <c r="I90" i="1"/>
  <c r="H90" i="1"/>
  <c r="E90" i="1"/>
  <c r="D90" i="1"/>
  <c r="W89" i="1"/>
  <c r="Y89" i="1" s="1"/>
  <c r="V89" i="1"/>
  <c r="X89" i="1" s="1"/>
  <c r="U89" i="1"/>
  <c r="T89" i="1"/>
  <c r="Q89" i="1"/>
  <c r="P89" i="1"/>
  <c r="M89" i="1"/>
  <c r="L89" i="1"/>
  <c r="I89" i="1"/>
  <c r="H89" i="1"/>
  <c r="E89" i="1"/>
  <c r="D89" i="1"/>
  <c r="U88" i="1"/>
  <c r="T88" i="1"/>
  <c r="S88" i="1"/>
  <c r="R88" i="1"/>
  <c r="P88" i="1"/>
  <c r="O88" i="1"/>
  <c r="Q88" i="1" s="1"/>
  <c r="N88" i="1"/>
  <c r="H88" i="1"/>
  <c r="G88" i="1"/>
  <c r="I88" i="1" s="1"/>
  <c r="F88" i="1"/>
  <c r="C88" i="1"/>
  <c r="B88" i="1"/>
  <c r="V88" i="1" s="1"/>
  <c r="U87" i="1"/>
  <c r="T87" i="1"/>
  <c r="Q87" i="1"/>
  <c r="P87" i="1"/>
  <c r="K87" i="1"/>
  <c r="J87" i="1"/>
  <c r="V87" i="1" s="1"/>
  <c r="I87" i="1"/>
  <c r="H87" i="1"/>
  <c r="E87" i="1"/>
  <c r="D87" i="1"/>
  <c r="W86" i="1"/>
  <c r="U86" i="1"/>
  <c r="T86" i="1"/>
  <c r="Q86" i="1"/>
  <c r="P86" i="1"/>
  <c r="K86" i="1"/>
  <c r="M86" i="1" s="1"/>
  <c r="J86" i="1"/>
  <c r="J88" i="1" s="1"/>
  <c r="I86" i="1"/>
  <c r="H86" i="1"/>
  <c r="E86" i="1"/>
  <c r="D86" i="1"/>
  <c r="W85" i="1"/>
  <c r="Y85" i="1" s="1"/>
  <c r="V85" i="1"/>
  <c r="U85" i="1"/>
  <c r="T85" i="1"/>
  <c r="Q85" i="1"/>
  <c r="P85" i="1"/>
  <c r="M85" i="1"/>
  <c r="L85" i="1"/>
  <c r="I85" i="1"/>
  <c r="H85" i="1"/>
  <c r="E85" i="1"/>
  <c r="D85" i="1"/>
  <c r="U84" i="1"/>
  <c r="S84" i="1"/>
  <c r="R84" i="1"/>
  <c r="T84" i="1" s="1"/>
  <c r="N84" i="1"/>
  <c r="G84" i="1"/>
  <c r="I84" i="1" s="1"/>
  <c r="U83" i="1"/>
  <c r="T83" i="1"/>
  <c r="Q83" i="1"/>
  <c r="P83" i="1"/>
  <c r="M83" i="1"/>
  <c r="K83" i="1"/>
  <c r="J83" i="1"/>
  <c r="L83" i="1" s="1"/>
  <c r="I83" i="1"/>
  <c r="H83" i="1"/>
  <c r="C83" i="1"/>
  <c r="B83" i="1"/>
  <c r="U82" i="1"/>
  <c r="T82" i="1"/>
  <c r="Q82" i="1"/>
  <c r="P82" i="1"/>
  <c r="M82" i="1"/>
  <c r="K82" i="1"/>
  <c r="L82" i="1" s="1"/>
  <c r="J82" i="1"/>
  <c r="V82" i="1" s="1"/>
  <c r="I82" i="1"/>
  <c r="H82" i="1"/>
  <c r="C82" i="1"/>
  <c r="U81" i="1"/>
  <c r="T81" i="1"/>
  <c r="P81" i="1"/>
  <c r="O81" i="1"/>
  <c r="Q81" i="1" s="1"/>
  <c r="K81" i="1"/>
  <c r="M81" i="1" s="1"/>
  <c r="J81" i="1"/>
  <c r="I81" i="1"/>
  <c r="G81" i="1"/>
  <c r="F81" i="1"/>
  <c r="H81" i="1" s="1"/>
  <c r="C81" i="1"/>
  <c r="B81" i="1"/>
  <c r="U80" i="1"/>
  <c r="T80" i="1"/>
  <c r="O80" i="1"/>
  <c r="L80" i="1"/>
  <c r="K80" i="1"/>
  <c r="M80" i="1" s="1"/>
  <c r="J80" i="1"/>
  <c r="I80" i="1"/>
  <c r="H80" i="1"/>
  <c r="C80" i="1"/>
  <c r="B80" i="1"/>
  <c r="U79" i="1"/>
  <c r="T79" i="1"/>
  <c r="O79" i="1"/>
  <c r="N79" i="1"/>
  <c r="P79" i="1" s="1"/>
  <c r="L79" i="1"/>
  <c r="K79" i="1"/>
  <c r="M79" i="1" s="1"/>
  <c r="J79" i="1"/>
  <c r="I79" i="1"/>
  <c r="H79" i="1"/>
  <c r="F79" i="1"/>
  <c r="C79" i="1"/>
  <c r="W79" i="1" s="1"/>
  <c r="B79" i="1"/>
  <c r="Y78" i="1"/>
  <c r="W78" i="1"/>
  <c r="V78" i="1"/>
  <c r="X78" i="1" s="1"/>
  <c r="U78" i="1"/>
  <c r="T78" i="1"/>
  <c r="Q78" i="1"/>
  <c r="P78" i="1"/>
  <c r="M78" i="1"/>
  <c r="J78" i="1"/>
  <c r="L78" i="1" s="1"/>
  <c r="I78" i="1"/>
  <c r="H78" i="1"/>
  <c r="E78" i="1"/>
  <c r="D78" i="1"/>
  <c r="U77" i="1"/>
  <c r="S77" i="1"/>
  <c r="R77" i="1"/>
  <c r="T77" i="1" s="1"/>
  <c r="Q77" i="1"/>
  <c r="P77" i="1"/>
  <c r="O77" i="1"/>
  <c r="N77" i="1"/>
  <c r="J77" i="1"/>
  <c r="L77" i="1" s="1"/>
  <c r="F77" i="1"/>
  <c r="B77" i="1"/>
  <c r="V77" i="1" s="1"/>
  <c r="V76" i="1"/>
  <c r="U76" i="1"/>
  <c r="T76" i="1"/>
  <c r="R76" i="1"/>
  <c r="Q76" i="1"/>
  <c r="P76" i="1"/>
  <c r="N76" i="1"/>
  <c r="L76" i="1"/>
  <c r="K76" i="1"/>
  <c r="M76" i="1" s="1"/>
  <c r="J76" i="1"/>
  <c r="G76" i="1"/>
  <c r="C76" i="1"/>
  <c r="U75" i="1"/>
  <c r="T75" i="1"/>
  <c r="Q75" i="1"/>
  <c r="P75" i="1"/>
  <c r="L75" i="1"/>
  <c r="K75" i="1"/>
  <c r="K77" i="1" s="1"/>
  <c r="M77" i="1" s="1"/>
  <c r="J75" i="1"/>
  <c r="V75" i="1" s="1"/>
  <c r="I75" i="1"/>
  <c r="H75" i="1"/>
  <c r="E75" i="1"/>
  <c r="D75" i="1"/>
  <c r="X74" i="1"/>
  <c r="W74" i="1"/>
  <c r="Y74" i="1" s="1"/>
  <c r="V74" i="1"/>
  <c r="U74" i="1"/>
  <c r="T74" i="1"/>
  <c r="Q74" i="1"/>
  <c r="P74" i="1"/>
  <c r="M74" i="1"/>
  <c r="L74" i="1"/>
  <c r="I74" i="1"/>
  <c r="H74" i="1"/>
  <c r="E74" i="1"/>
  <c r="D74" i="1"/>
  <c r="V73" i="1"/>
  <c r="U73" i="1"/>
  <c r="T73" i="1"/>
  <c r="Q73" i="1"/>
  <c r="P73" i="1"/>
  <c r="O73" i="1"/>
  <c r="N73" i="1"/>
  <c r="L73" i="1"/>
  <c r="K73" i="1"/>
  <c r="M73" i="1" s="1"/>
  <c r="J73" i="1"/>
  <c r="I73" i="1"/>
  <c r="H73" i="1"/>
  <c r="G73" i="1"/>
  <c r="F73" i="1"/>
  <c r="D73" i="1"/>
  <c r="C73" i="1"/>
  <c r="W73" i="1" s="1"/>
  <c r="Y73" i="1" s="1"/>
  <c r="B73" i="1"/>
  <c r="X72" i="1"/>
  <c r="U72" i="1"/>
  <c r="T72" i="1"/>
  <c r="Q72" i="1"/>
  <c r="P72" i="1"/>
  <c r="M72" i="1"/>
  <c r="L72" i="1"/>
  <c r="K72" i="1"/>
  <c r="W72" i="1" s="1"/>
  <c r="Y72" i="1" s="1"/>
  <c r="J72" i="1"/>
  <c r="I72" i="1"/>
  <c r="H72" i="1"/>
  <c r="F72" i="1"/>
  <c r="E72" i="1"/>
  <c r="D72" i="1"/>
  <c r="B72" i="1"/>
  <c r="V72" i="1" s="1"/>
  <c r="V71" i="1"/>
  <c r="U71" i="1"/>
  <c r="T71" i="1"/>
  <c r="Q71" i="1"/>
  <c r="P71" i="1"/>
  <c r="O71" i="1"/>
  <c r="K71" i="1"/>
  <c r="M71" i="1" s="1"/>
  <c r="J71" i="1"/>
  <c r="L71" i="1" s="1"/>
  <c r="G71" i="1"/>
  <c r="I71" i="1" s="1"/>
  <c r="F71" i="1"/>
  <c r="C71" i="1"/>
  <c r="E71" i="1" s="1"/>
  <c r="B71" i="1"/>
  <c r="D71" i="1" s="1"/>
  <c r="W70" i="1"/>
  <c r="Y70" i="1" s="1"/>
  <c r="U70" i="1"/>
  <c r="T70" i="1"/>
  <c r="Q70" i="1"/>
  <c r="P70" i="1"/>
  <c r="L70" i="1"/>
  <c r="K70" i="1"/>
  <c r="M70" i="1" s="1"/>
  <c r="J70" i="1"/>
  <c r="V70" i="1" s="1"/>
  <c r="X70" i="1" s="1"/>
  <c r="I70" i="1"/>
  <c r="H70" i="1"/>
  <c r="E70" i="1"/>
  <c r="D70" i="1"/>
  <c r="U69" i="1"/>
  <c r="T69" i="1"/>
  <c r="Q69" i="1"/>
  <c r="P69" i="1"/>
  <c r="K69" i="1"/>
  <c r="M69" i="1" s="1"/>
  <c r="J69" i="1"/>
  <c r="G69" i="1"/>
  <c r="I69" i="1" s="1"/>
  <c r="F69" i="1"/>
  <c r="V69" i="1" s="1"/>
  <c r="C69" i="1"/>
  <c r="E69" i="1" s="1"/>
  <c r="V68" i="1"/>
  <c r="U68" i="1"/>
  <c r="T68" i="1"/>
  <c r="Q68" i="1"/>
  <c r="P68" i="1"/>
  <c r="O68" i="1"/>
  <c r="N68" i="1"/>
  <c r="L68" i="1"/>
  <c r="K68" i="1"/>
  <c r="M68" i="1" s="1"/>
  <c r="J68" i="1"/>
  <c r="I68" i="1"/>
  <c r="H68" i="1"/>
  <c r="G68" i="1"/>
  <c r="F68" i="1"/>
  <c r="D68" i="1"/>
  <c r="C68" i="1"/>
  <c r="W68" i="1" s="1"/>
  <c r="Y68" i="1" s="1"/>
  <c r="B68" i="1"/>
  <c r="U67" i="1"/>
  <c r="T67" i="1"/>
  <c r="O67" i="1"/>
  <c r="N67" i="1"/>
  <c r="P67" i="1" s="1"/>
  <c r="K67" i="1"/>
  <c r="J67" i="1"/>
  <c r="M67" i="1" s="1"/>
  <c r="G67" i="1"/>
  <c r="F67" i="1"/>
  <c r="H67" i="1" s="1"/>
  <c r="C67" i="1"/>
  <c r="B67" i="1"/>
  <c r="E67" i="1" s="1"/>
  <c r="W66" i="1"/>
  <c r="V66" i="1"/>
  <c r="X66" i="1" s="1"/>
  <c r="U66" i="1"/>
  <c r="T66" i="1"/>
  <c r="Q66" i="1"/>
  <c r="P66" i="1"/>
  <c r="K66" i="1"/>
  <c r="J66" i="1"/>
  <c r="L66" i="1" s="1"/>
  <c r="I66" i="1"/>
  <c r="H66" i="1"/>
  <c r="E66" i="1"/>
  <c r="D66" i="1"/>
  <c r="V65" i="1"/>
  <c r="U65" i="1"/>
  <c r="T65" i="1"/>
  <c r="Q65" i="1"/>
  <c r="P65" i="1"/>
  <c r="N65" i="1"/>
  <c r="K65" i="1"/>
  <c r="M65" i="1" s="1"/>
  <c r="J65" i="1"/>
  <c r="G65" i="1"/>
  <c r="I65" i="1" s="1"/>
  <c r="C65" i="1"/>
  <c r="U64" i="1"/>
  <c r="T64" i="1"/>
  <c r="O64" i="1"/>
  <c r="Q64" i="1" s="1"/>
  <c r="K64" i="1"/>
  <c r="J64" i="1"/>
  <c r="M64" i="1" s="1"/>
  <c r="G64" i="1"/>
  <c r="E64" i="1"/>
  <c r="C64" i="1"/>
  <c r="D64" i="1" s="1"/>
  <c r="U63" i="1"/>
  <c r="T63" i="1"/>
  <c r="Q63" i="1"/>
  <c r="P63" i="1"/>
  <c r="L63" i="1"/>
  <c r="K63" i="1"/>
  <c r="M63" i="1" s="1"/>
  <c r="J63" i="1"/>
  <c r="V63" i="1" s="1"/>
  <c r="I63" i="1"/>
  <c r="H63" i="1"/>
  <c r="E63" i="1"/>
  <c r="D63" i="1"/>
  <c r="U62" i="1"/>
  <c r="T62" i="1"/>
  <c r="O62" i="1"/>
  <c r="N62" i="1"/>
  <c r="Q62" i="1" s="1"/>
  <c r="K62" i="1"/>
  <c r="J62" i="1"/>
  <c r="L62" i="1" s="1"/>
  <c r="G62" i="1"/>
  <c r="F62" i="1"/>
  <c r="I62" i="1" s="1"/>
  <c r="C62" i="1"/>
  <c r="Y61" i="1"/>
  <c r="W61" i="1"/>
  <c r="U61" i="1"/>
  <c r="T61" i="1"/>
  <c r="Q61" i="1"/>
  <c r="P61" i="1"/>
  <c r="M61" i="1"/>
  <c r="J61" i="1"/>
  <c r="L61" i="1" s="1"/>
  <c r="I61" i="1"/>
  <c r="H61" i="1"/>
  <c r="E61" i="1"/>
  <c r="D61" i="1"/>
  <c r="Y60" i="1"/>
  <c r="X60" i="1"/>
  <c r="W60" i="1"/>
  <c r="V60" i="1"/>
  <c r="U60" i="1"/>
  <c r="T60" i="1"/>
  <c r="Q60" i="1"/>
  <c r="P60" i="1"/>
  <c r="M60" i="1"/>
  <c r="L60" i="1"/>
  <c r="I60" i="1"/>
  <c r="H60" i="1"/>
  <c r="F60" i="1"/>
  <c r="E60" i="1"/>
  <c r="D60" i="1"/>
  <c r="W59" i="1"/>
  <c r="Y59" i="1" s="1"/>
  <c r="U59" i="1"/>
  <c r="T59" i="1"/>
  <c r="Q59" i="1"/>
  <c r="P59" i="1"/>
  <c r="K59" i="1"/>
  <c r="M59" i="1" s="1"/>
  <c r="J59" i="1"/>
  <c r="V59" i="1" s="1"/>
  <c r="X59" i="1" s="1"/>
  <c r="I59" i="1"/>
  <c r="H59" i="1"/>
  <c r="E59" i="1"/>
  <c r="D59" i="1"/>
  <c r="U58" i="1"/>
  <c r="T58" i="1"/>
  <c r="Q58" i="1"/>
  <c r="P58" i="1"/>
  <c r="K58" i="1"/>
  <c r="M58" i="1" s="1"/>
  <c r="J58" i="1"/>
  <c r="V58" i="1" s="1"/>
  <c r="I58" i="1"/>
  <c r="H58" i="1"/>
  <c r="E58" i="1"/>
  <c r="D58" i="1"/>
  <c r="W57" i="1"/>
  <c r="Y57" i="1" s="1"/>
  <c r="U57" i="1"/>
  <c r="T57" i="1"/>
  <c r="Q57" i="1"/>
  <c r="P57" i="1"/>
  <c r="K57" i="1"/>
  <c r="M57" i="1" s="1"/>
  <c r="J57" i="1"/>
  <c r="V57" i="1" s="1"/>
  <c r="X57" i="1" s="1"/>
  <c r="I57" i="1"/>
  <c r="H57" i="1"/>
  <c r="E57" i="1"/>
  <c r="D57" i="1"/>
  <c r="W56" i="1"/>
  <c r="U56" i="1"/>
  <c r="T56" i="1"/>
  <c r="Q56" i="1"/>
  <c r="P56" i="1"/>
  <c r="O56" i="1"/>
  <c r="M56" i="1"/>
  <c r="L56" i="1"/>
  <c r="K56" i="1"/>
  <c r="J56" i="1"/>
  <c r="I56" i="1"/>
  <c r="H56" i="1"/>
  <c r="F56" i="1"/>
  <c r="E56" i="1"/>
  <c r="D56" i="1"/>
  <c r="U55" i="1"/>
  <c r="T55" i="1"/>
  <c r="Q55" i="1"/>
  <c r="P55" i="1"/>
  <c r="M55" i="1"/>
  <c r="K55" i="1"/>
  <c r="L55" i="1" s="1"/>
  <c r="J55" i="1"/>
  <c r="V55" i="1" s="1"/>
  <c r="I55" i="1"/>
  <c r="H55" i="1"/>
  <c r="D55" i="1"/>
  <c r="C55" i="1"/>
  <c r="V54" i="1"/>
  <c r="X54" i="1" s="1"/>
  <c r="U54" i="1"/>
  <c r="T54" i="1"/>
  <c r="Q54" i="1"/>
  <c r="P54" i="1"/>
  <c r="M54" i="1"/>
  <c r="L54" i="1"/>
  <c r="K54" i="1"/>
  <c r="W54" i="1" s="1"/>
  <c r="Y54" i="1" s="1"/>
  <c r="I54" i="1"/>
  <c r="H54" i="1"/>
  <c r="E54" i="1"/>
  <c r="D54" i="1"/>
  <c r="U53" i="1"/>
  <c r="T53" i="1"/>
  <c r="Q53" i="1"/>
  <c r="P53" i="1"/>
  <c r="M53" i="1"/>
  <c r="K53" i="1"/>
  <c r="L53" i="1" s="1"/>
  <c r="J53" i="1"/>
  <c r="V53" i="1" s="1"/>
  <c r="I53" i="1"/>
  <c r="H53" i="1"/>
  <c r="E53" i="1"/>
  <c r="D53" i="1"/>
  <c r="U52" i="1"/>
  <c r="T52" i="1"/>
  <c r="R52" i="1"/>
  <c r="R131" i="1" s="1"/>
  <c r="Q52" i="1"/>
  <c r="P52" i="1"/>
  <c r="N52" i="1"/>
  <c r="K52" i="1"/>
  <c r="J52" i="1"/>
  <c r="H52" i="1"/>
  <c r="G52" i="1"/>
  <c r="E52" i="1"/>
  <c r="D52" i="1"/>
  <c r="B52" i="1"/>
  <c r="Y48" i="1"/>
  <c r="W48" i="1"/>
  <c r="V48" i="1"/>
  <c r="X48" i="1" s="1"/>
  <c r="U48" i="1"/>
  <c r="T48" i="1"/>
  <c r="Q48" i="1"/>
  <c r="N48" i="1"/>
  <c r="P48" i="1" s="1"/>
  <c r="M48" i="1"/>
  <c r="L48" i="1"/>
  <c r="I48" i="1"/>
  <c r="H48" i="1"/>
  <c r="E48" i="1"/>
  <c r="D48" i="1"/>
  <c r="W47" i="1"/>
  <c r="Y47" i="1" s="1"/>
  <c r="U47" i="1"/>
  <c r="T47" i="1"/>
  <c r="Q47" i="1"/>
  <c r="P47" i="1"/>
  <c r="M47" i="1"/>
  <c r="L47" i="1"/>
  <c r="J47" i="1"/>
  <c r="V47" i="1" s="1"/>
  <c r="X47" i="1" s="1"/>
  <c r="I47" i="1"/>
  <c r="H47" i="1"/>
  <c r="E47" i="1"/>
  <c r="D47" i="1"/>
  <c r="W46" i="1"/>
  <c r="Y46" i="1" s="1"/>
  <c r="U46" i="1"/>
  <c r="T46" i="1"/>
  <c r="Q46" i="1"/>
  <c r="P46" i="1"/>
  <c r="M46" i="1"/>
  <c r="J46" i="1"/>
  <c r="L46" i="1" s="1"/>
  <c r="I46" i="1"/>
  <c r="H46" i="1"/>
  <c r="E46" i="1"/>
  <c r="D46" i="1"/>
  <c r="S45" i="1"/>
  <c r="U45" i="1" s="1"/>
  <c r="R45" i="1"/>
  <c r="Q45" i="1"/>
  <c r="O45" i="1"/>
  <c r="N45" i="1"/>
  <c r="P45" i="1" s="1"/>
  <c r="K45" i="1"/>
  <c r="M45" i="1" s="1"/>
  <c r="J45" i="1"/>
  <c r="L45" i="1" s="1"/>
  <c r="I45" i="1"/>
  <c r="G45" i="1"/>
  <c r="F45" i="1"/>
  <c r="H45" i="1" s="1"/>
  <c r="C45" i="1"/>
  <c r="B45" i="1"/>
  <c r="Y44" i="1"/>
  <c r="W44" i="1"/>
  <c r="V44" i="1"/>
  <c r="X44" i="1" s="1"/>
  <c r="U44" i="1"/>
  <c r="T44" i="1"/>
  <c r="Q44" i="1"/>
  <c r="P44" i="1"/>
  <c r="M44" i="1"/>
  <c r="L44" i="1"/>
  <c r="J44" i="1"/>
  <c r="I44" i="1"/>
  <c r="H44" i="1"/>
  <c r="E44" i="1"/>
  <c r="D44" i="1"/>
  <c r="Y43" i="1"/>
  <c r="W43" i="1"/>
  <c r="X43" i="1" s="1"/>
  <c r="V43" i="1"/>
  <c r="U43" i="1"/>
  <c r="T43" i="1"/>
  <c r="Q43" i="1"/>
  <c r="P43" i="1"/>
  <c r="M43" i="1"/>
  <c r="L43" i="1"/>
  <c r="I43" i="1"/>
  <c r="H43" i="1"/>
  <c r="E43" i="1"/>
  <c r="D43" i="1"/>
  <c r="W42" i="1"/>
  <c r="Y42" i="1" s="1"/>
  <c r="U42" i="1"/>
  <c r="T42" i="1"/>
  <c r="Q42" i="1"/>
  <c r="P42" i="1"/>
  <c r="M42" i="1"/>
  <c r="J42" i="1"/>
  <c r="V42" i="1" s="1"/>
  <c r="X42" i="1" s="1"/>
  <c r="I42" i="1"/>
  <c r="H42" i="1"/>
  <c r="E42" i="1"/>
  <c r="D42" i="1"/>
  <c r="U41" i="1"/>
  <c r="T41" i="1"/>
  <c r="Q41" i="1"/>
  <c r="P41" i="1"/>
  <c r="K41" i="1"/>
  <c r="J41" i="1"/>
  <c r="L41" i="1" s="1"/>
  <c r="I41" i="1"/>
  <c r="H41" i="1"/>
  <c r="E41" i="1"/>
  <c r="D41" i="1"/>
  <c r="U40" i="1"/>
  <c r="S40" i="1"/>
  <c r="R40" i="1"/>
  <c r="T40" i="1" s="1"/>
  <c r="O40" i="1"/>
  <c r="Q40" i="1" s="1"/>
  <c r="N40" i="1"/>
  <c r="P40" i="1" s="1"/>
  <c r="G40" i="1"/>
  <c r="I40" i="1" s="1"/>
  <c r="F40" i="1"/>
  <c r="H40" i="1" s="1"/>
  <c r="E40" i="1"/>
  <c r="C40" i="1"/>
  <c r="B40" i="1"/>
  <c r="D40" i="1" s="1"/>
  <c r="V39" i="1"/>
  <c r="U39" i="1"/>
  <c r="T39" i="1"/>
  <c r="Q39" i="1"/>
  <c r="P39" i="1"/>
  <c r="K39" i="1"/>
  <c r="I39" i="1"/>
  <c r="H39" i="1"/>
  <c r="E39" i="1"/>
  <c r="D39" i="1"/>
  <c r="V38" i="1"/>
  <c r="U38" i="1"/>
  <c r="T38" i="1"/>
  <c r="Q38" i="1"/>
  <c r="N38" i="1"/>
  <c r="P38" i="1" s="1"/>
  <c r="K38" i="1"/>
  <c r="J38" i="1"/>
  <c r="I38" i="1"/>
  <c r="H38" i="1"/>
  <c r="E38" i="1"/>
  <c r="D38" i="1"/>
  <c r="V37" i="1"/>
  <c r="U37" i="1"/>
  <c r="T37" i="1"/>
  <c r="R37" i="1"/>
  <c r="Q37" i="1"/>
  <c r="P37" i="1"/>
  <c r="K37" i="1"/>
  <c r="M37" i="1" s="1"/>
  <c r="J37" i="1"/>
  <c r="I37" i="1"/>
  <c r="H37" i="1"/>
  <c r="E37" i="1"/>
  <c r="D37" i="1"/>
  <c r="S36" i="1"/>
  <c r="U36" i="1" s="1"/>
  <c r="R36" i="1"/>
  <c r="T36" i="1" s="1"/>
  <c r="O36" i="1"/>
  <c r="K36" i="1"/>
  <c r="G36" i="1"/>
  <c r="I36" i="1" s="1"/>
  <c r="F36" i="1"/>
  <c r="C36" i="1"/>
  <c r="X35" i="1"/>
  <c r="W35" i="1"/>
  <c r="Y35" i="1" s="1"/>
  <c r="V35" i="1"/>
  <c r="U35" i="1"/>
  <c r="T35" i="1"/>
  <c r="Q35" i="1"/>
  <c r="P35" i="1"/>
  <c r="O35" i="1"/>
  <c r="M35" i="1"/>
  <c r="L35" i="1"/>
  <c r="K35" i="1"/>
  <c r="I35" i="1"/>
  <c r="H35" i="1"/>
  <c r="E35" i="1"/>
  <c r="D35" i="1"/>
  <c r="C35" i="1"/>
  <c r="Y34" i="1"/>
  <c r="V34" i="1"/>
  <c r="U34" i="1"/>
  <c r="T34" i="1"/>
  <c r="Q34" i="1"/>
  <c r="P34" i="1"/>
  <c r="M34" i="1"/>
  <c r="L34" i="1"/>
  <c r="K34" i="1"/>
  <c r="W34" i="1" s="1"/>
  <c r="X34" i="1" s="1"/>
  <c r="I34" i="1"/>
  <c r="H34" i="1"/>
  <c r="E34" i="1"/>
  <c r="D34" i="1"/>
  <c r="C34" i="1"/>
  <c r="Y33" i="1"/>
  <c r="W33" i="1"/>
  <c r="U33" i="1"/>
  <c r="T33" i="1"/>
  <c r="Q33" i="1"/>
  <c r="N33" i="1"/>
  <c r="M33" i="1"/>
  <c r="J33" i="1"/>
  <c r="L33" i="1" s="1"/>
  <c r="I33" i="1"/>
  <c r="H33" i="1"/>
  <c r="E33" i="1"/>
  <c r="B33" i="1"/>
  <c r="U32" i="1"/>
  <c r="T32" i="1"/>
  <c r="O32" i="1"/>
  <c r="Q32" i="1" s="1"/>
  <c r="N32" i="1"/>
  <c r="V32" i="1" s="1"/>
  <c r="K32" i="1"/>
  <c r="I32" i="1"/>
  <c r="H32" i="1"/>
  <c r="E32" i="1"/>
  <c r="D32" i="1"/>
  <c r="S31" i="1"/>
  <c r="U31" i="1" s="1"/>
  <c r="R31" i="1"/>
  <c r="T31" i="1" s="1"/>
  <c r="Q31" i="1"/>
  <c r="O31" i="1"/>
  <c r="N31" i="1"/>
  <c r="P31" i="1" s="1"/>
  <c r="K31" i="1"/>
  <c r="M31" i="1" s="1"/>
  <c r="J31" i="1"/>
  <c r="L31" i="1" s="1"/>
  <c r="C31" i="1"/>
  <c r="B31" i="1"/>
  <c r="V30" i="1"/>
  <c r="X30" i="1" s="1"/>
  <c r="U30" i="1"/>
  <c r="T30" i="1"/>
  <c r="Q30" i="1"/>
  <c r="P30" i="1"/>
  <c r="M30" i="1"/>
  <c r="L30" i="1"/>
  <c r="K30" i="1"/>
  <c r="W30" i="1" s="1"/>
  <c r="Y30" i="1" s="1"/>
  <c r="I30" i="1"/>
  <c r="H30" i="1"/>
  <c r="E30" i="1"/>
  <c r="D30" i="1"/>
  <c r="U29" i="1"/>
  <c r="T29" i="1"/>
  <c r="Q29" i="1"/>
  <c r="P29" i="1"/>
  <c r="M29" i="1"/>
  <c r="L29" i="1"/>
  <c r="G29" i="1"/>
  <c r="W29" i="1" s="1"/>
  <c r="F29" i="1"/>
  <c r="V29" i="1" s="1"/>
  <c r="X29" i="1" s="1"/>
  <c r="E29" i="1"/>
  <c r="D29" i="1"/>
  <c r="U28" i="1"/>
  <c r="T28" i="1"/>
  <c r="Q28" i="1"/>
  <c r="P28" i="1"/>
  <c r="M28" i="1"/>
  <c r="L28" i="1"/>
  <c r="G28" i="1"/>
  <c r="W28" i="1" s="1"/>
  <c r="F28" i="1"/>
  <c r="V28" i="1" s="1"/>
  <c r="X28" i="1" s="1"/>
  <c r="E28" i="1"/>
  <c r="D28" i="1"/>
  <c r="Y27" i="1"/>
  <c r="W27" i="1"/>
  <c r="U27" i="1"/>
  <c r="T27" i="1"/>
  <c r="Q27" i="1"/>
  <c r="P27" i="1"/>
  <c r="M27" i="1"/>
  <c r="L27" i="1"/>
  <c r="I27" i="1"/>
  <c r="F27" i="1"/>
  <c r="V27" i="1" s="1"/>
  <c r="X27" i="1" s="1"/>
  <c r="E27" i="1"/>
  <c r="D27" i="1"/>
  <c r="T26" i="1"/>
  <c r="S26" i="1"/>
  <c r="U26" i="1" s="1"/>
  <c r="R26" i="1"/>
  <c r="L26" i="1"/>
  <c r="K26" i="1"/>
  <c r="M26" i="1" s="1"/>
  <c r="J26" i="1"/>
  <c r="I26" i="1"/>
  <c r="H26" i="1"/>
  <c r="G26" i="1"/>
  <c r="F26" i="1"/>
  <c r="C26" i="1"/>
  <c r="U25" i="1"/>
  <c r="T25" i="1"/>
  <c r="O25" i="1"/>
  <c r="N25" i="1"/>
  <c r="M25" i="1"/>
  <c r="L25" i="1"/>
  <c r="I25" i="1"/>
  <c r="H25" i="1"/>
  <c r="E25" i="1"/>
  <c r="D25" i="1"/>
  <c r="U24" i="1"/>
  <c r="T24" i="1"/>
  <c r="O24" i="1"/>
  <c r="N24" i="1"/>
  <c r="M24" i="1"/>
  <c r="L24" i="1"/>
  <c r="I24" i="1"/>
  <c r="H24" i="1"/>
  <c r="E24" i="1"/>
  <c r="B24" i="1"/>
  <c r="U23" i="1"/>
  <c r="T23" i="1"/>
  <c r="P23" i="1"/>
  <c r="O23" i="1"/>
  <c r="N23" i="1"/>
  <c r="V23" i="1" s="1"/>
  <c r="M23" i="1"/>
  <c r="L23" i="1"/>
  <c r="I23" i="1"/>
  <c r="H23" i="1"/>
  <c r="E23" i="1"/>
  <c r="D23" i="1"/>
  <c r="U22" i="1"/>
  <c r="T22" i="1"/>
  <c r="O22" i="1"/>
  <c r="N22" i="1"/>
  <c r="V22" i="1" s="1"/>
  <c r="M22" i="1"/>
  <c r="L22" i="1"/>
  <c r="I22" i="1"/>
  <c r="H22" i="1"/>
  <c r="E22" i="1"/>
  <c r="D22" i="1"/>
  <c r="U21" i="1"/>
  <c r="T21" i="1"/>
  <c r="P21" i="1"/>
  <c r="O21" i="1"/>
  <c r="N21" i="1"/>
  <c r="V21" i="1" s="1"/>
  <c r="M21" i="1"/>
  <c r="L21" i="1"/>
  <c r="I21" i="1"/>
  <c r="H21" i="1"/>
  <c r="E21" i="1"/>
  <c r="D21" i="1"/>
  <c r="V20" i="1"/>
  <c r="U20" i="1"/>
  <c r="T20" i="1"/>
  <c r="P20" i="1"/>
  <c r="O20" i="1"/>
  <c r="M20" i="1"/>
  <c r="L20" i="1"/>
  <c r="I20" i="1"/>
  <c r="H20" i="1"/>
  <c r="E20" i="1"/>
  <c r="D20" i="1"/>
  <c r="U19" i="1"/>
  <c r="T19" i="1"/>
  <c r="O19" i="1"/>
  <c r="N19" i="1"/>
  <c r="M19" i="1"/>
  <c r="L19" i="1"/>
  <c r="I19" i="1"/>
  <c r="H19" i="1"/>
  <c r="E19" i="1"/>
  <c r="D19" i="1"/>
  <c r="Y18" i="1"/>
  <c r="X18" i="1"/>
  <c r="W18" i="1"/>
  <c r="V18" i="1"/>
  <c r="U18" i="1"/>
  <c r="T18" i="1"/>
  <c r="Q18" i="1"/>
  <c r="P18" i="1"/>
  <c r="M18" i="1"/>
  <c r="L18" i="1"/>
  <c r="I18" i="1"/>
  <c r="H18" i="1"/>
  <c r="E18" i="1"/>
  <c r="D18" i="1"/>
  <c r="U17" i="1"/>
  <c r="S17" i="1"/>
  <c r="R17" i="1"/>
  <c r="T17" i="1" s="1"/>
  <c r="O17" i="1"/>
  <c r="Q17" i="1" s="1"/>
  <c r="N17" i="1"/>
  <c r="P17" i="1" s="1"/>
  <c r="J17" i="1"/>
  <c r="G17" i="1"/>
  <c r="I17" i="1" s="1"/>
  <c r="F17" i="1"/>
  <c r="H17" i="1" s="1"/>
  <c r="W16" i="1"/>
  <c r="Y16" i="1" s="1"/>
  <c r="V16" i="1"/>
  <c r="U16" i="1"/>
  <c r="T16" i="1"/>
  <c r="Q16" i="1"/>
  <c r="P16" i="1"/>
  <c r="M16" i="1"/>
  <c r="L16" i="1"/>
  <c r="I16" i="1"/>
  <c r="H16" i="1"/>
  <c r="E16" i="1"/>
  <c r="D16" i="1"/>
  <c r="B16" i="1"/>
  <c r="V15" i="1"/>
  <c r="X15" i="1" s="1"/>
  <c r="U15" i="1"/>
  <c r="T15" i="1"/>
  <c r="Q15" i="1"/>
  <c r="P15" i="1"/>
  <c r="M15" i="1"/>
  <c r="L15" i="1"/>
  <c r="K15" i="1"/>
  <c r="W15" i="1" s="1"/>
  <c r="Y15" i="1" s="1"/>
  <c r="I15" i="1"/>
  <c r="H15" i="1"/>
  <c r="E15" i="1"/>
  <c r="D15" i="1"/>
  <c r="C15" i="1"/>
  <c r="V14" i="1"/>
  <c r="U14" i="1"/>
  <c r="T14" i="1"/>
  <c r="Q14" i="1"/>
  <c r="P14" i="1"/>
  <c r="M14" i="1"/>
  <c r="L14" i="1"/>
  <c r="K14" i="1"/>
  <c r="K17" i="1" s="1"/>
  <c r="M17" i="1" s="1"/>
  <c r="I14" i="1"/>
  <c r="H14" i="1"/>
  <c r="D14" i="1"/>
  <c r="C14" i="1"/>
  <c r="C17" i="1" s="1"/>
  <c r="B14" i="1"/>
  <c r="E14" i="1" s="1"/>
  <c r="W13" i="1"/>
  <c r="Y13" i="1" s="1"/>
  <c r="V13" i="1"/>
  <c r="X13" i="1" s="1"/>
  <c r="U13" i="1"/>
  <c r="T13" i="1"/>
  <c r="Q13" i="1"/>
  <c r="P13" i="1"/>
  <c r="M13" i="1"/>
  <c r="L13" i="1"/>
  <c r="I13" i="1"/>
  <c r="H13" i="1"/>
  <c r="E13" i="1"/>
  <c r="D13" i="1"/>
  <c r="B13" i="1"/>
  <c r="S12" i="1"/>
  <c r="U12" i="1" s="1"/>
  <c r="R12" i="1"/>
  <c r="Q12" i="1"/>
  <c r="O12" i="1"/>
  <c r="I12" i="1"/>
  <c r="G12" i="1"/>
  <c r="F12" i="1"/>
  <c r="D12" i="1"/>
  <c r="C12" i="1"/>
  <c r="B12" i="1"/>
  <c r="V11" i="1"/>
  <c r="Y11" i="1" s="1"/>
  <c r="U11" i="1"/>
  <c r="T11" i="1"/>
  <c r="Q11" i="1"/>
  <c r="P11" i="1"/>
  <c r="K11" i="1"/>
  <c r="W11" i="1" s="1"/>
  <c r="J11" i="1"/>
  <c r="M11" i="1" s="1"/>
  <c r="I11" i="1"/>
  <c r="H11" i="1"/>
  <c r="E11" i="1"/>
  <c r="D11" i="1"/>
  <c r="U10" i="1"/>
  <c r="T10" i="1"/>
  <c r="Q10" i="1"/>
  <c r="N10" i="1"/>
  <c r="P10" i="1" s="1"/>
  <c r="K10" i="1"/>
  <c r="W10" i="1" s="1"/>
  <c r="J10" i="1"/>
  <c r="L10" i="1" s="1"/>
  <c r="I10" i="1"/>
  <c r="H10" i="1"/>
  <c r="E10" i="1"/>
  <c r="D10" i="1"/>
  <c r="V9" i="1"/>
  <c r="U9" i="1"/>
  <c r="T9" i="1"/>
  <c r="Q9" i="1"/>
  <c r="P9" i="1"/>
  <c r="K9" i="1"/>
  <c r="M9" i="1" s="1"/>
  <c r="J9" i="1"/>
  <c r="I9" i="1"/>
  <c r="H9" i="1"/>
  <c r="E9" i="1"/>
  <c r="D9" i="1"/>
  <c r="V8" i="1"/>
  <c r="U8" i="1"/>
  <c r="T8" i="1"/>
  <c r="Q8" i="1"/>
  <c r="P8" i="1"/>
  <c r="K8" i="1"/>
  <c r="L8" i="1" s="1"/>
  <c r="I8" i="1"/>
  <c r="H8" i="1"/>
  <c r="E8" i="1"/>
  <c r="D8" i="1"/>
  <c r="N131" i="2" l="1"/>
  <c r="U77" i="2"/>
  <c r="Z113" i="2"/>
  <c r="X49" i="2"/>
  <c r="X50" i="2" s="1"/>
  <c r="AC45" i="2"/>
  <c r="AC136" i="2"/>
  <c r="AC88" i="2"/>
  <c r="Y113" i="2"/>
  <c r="AF47" i="2"/>
  <c r="AC26" i="2"/>
  <c r="AC127" i="2"/>
  <c r="Z36" i="2"/>
  <c r="Z49" i="2" s="1"/>
  <c r="Z50" i="2" s="1"/>
  <c r="AC36" i="2"/>
  <c r="S131" i="2"/>
  <c r="C36" i="2"/>
  <c r="D49" i="2"/>
  <c r="D50" i="2" s="1"/>
  <c r="X131" i="2"/>
  <c r="AF124" i="2"/>
  <c r="AF116" i="2"/>
  <c r="AF97" i="2"/>
  <c r="AF89" i="2"/>
  <c r="AF43" i="2"/>
  <c r="AF33" i="2"/>
  <c r="AF23" i="2"/>
  <c r="AF106" i="2"/>
  <c r="AF87" i="2"/>
  <c r="AF78" i="2"/>
  <c r="AF61" i="2"/>
  <c r="AF53" i="2"/>
  <c r="AF42" i="2"/>
  <c r="AF22" i="2"/>
  <c r="AF13" i="2"/>
  <c r="I49" i="2"/>
  <c r="I50" i="2" s="1"/>
  <c r="AC99" i="2"/>
  <c r="D140" i="2"/>
  <c r="AF122" i="2"/>
  <c r="AF95" i="2"/>
  <c r="AF60" i="2"/>
  <c r="AF21" i="2"/>
  <c r="AF11" i="2"/>
  <c r="I140" i="2"/>
  <c r="AF130" i="2"/>
  <c r="AF121" i="2"/>
  <c r="AF94" i="2"/>
  <c r="AF85" i="2"/>
  <c r="AF59" i="2"/>
  <c r="AF29" i="2"/>
  <c r="AF10" i="2"/>
  <c r="AC113" i="2"/>
  <c r="N140" i="2"/>
  <c r="AF120" i="2"/>
  <c r="AF93" i="2"/>
  <c r="AF74" i="2"/>
  <c r="AF66" i="2"/>
  <c r="AF58" i="2"/>
  <c r="AF48" i="2"/>
  <c r="AF38" i="2"/>
  <c r="AF19" i="2"/>
  <c r="AF9" i="2"/>
  <c r="S140" i="2"/>
  <c r="AF110" i="2"/>
  <c r="AF92" i="2"/>
  <c r="AF57" i="2"/>
  <c r="AF37" i="2"/>
  <c r="AF27" i="2"/>
  <c r="AF18" i="2"/>
  <c r="AF8" i="2"/>
  <c r="X140" i="2"/>
  <c r="AF138" i="2"/>
  <c r="AF118" i="2"/>
  <c r="AF91" i="2"/>
  <c r="AF72" i="2"/>
  <c r="AF46" i="2"/>
  <c r="AF25" i="2"/>
  <c r="AF16" i="2"/>
  <c r="AC17" i="2"/>
  <c r="AC84" i="2"/>
  <c r="AF108" i="2"/>
  <c r="AF98" i="2"/>
  <c r="AF44" i="2"/>
  <c r="AF24" i="2"/>
  <c r="AC139" i="2"/>
  <c r="AC105" i="2"/>
  <c r="AC77" i="2"/>
  <c r="D131" i="2"/>
  <c r="N49" i="2"/>
  <c r="N50" i="2" s="1"/>
  <c r="AC31" i="2"/>
  <c r="S49" i="2"/>
  <c r="S50" i="2" s="1"/>
  <c r="AC12" i="2"/>
  <c r="AF119" i="2"/>
  <c r="AD60" i="2"/>
  <c r="Y136" i="2"/>
  <c r="E64" i="2"/>
  <c r="B140" i="2"/>
  <c r="E68" i="2"/>
  <c r="T17" i="2"/>
  <c r="U24" i="2"/>
  <c r="T19" i="2"/>
  <c r="P35" i="2"/>
  <c r="P83" i="2"/>
  <c r="E88" i="2"/>
  <c r="O90" i="2"/>
  <c r="O117" i="2"/>
  <c r="P62" i="2"/>
  <c r="Y17" i="2"/>
  <c r="F117" i="2"/>
  <c r="U32" i="2"/>
  <c r="E35" i="2"/>
  <c r="F81" i="2"/>
  <c r="J12" i="2"/>
  <c r="T67" i="2"/>
  <c r="O104" i="2"/>
  <c r="AB83" i="2"/>
  <c r="AF83" i="2" s="1"/>
  <c r="P80" i="2"/>
  <c r="O82" i="2"/>
  <c r="P92" i="2"/>
  <c r="G113" i="2"/>
  <c r="K113" i="2" s="1"/>
  <c r="O102" i="2"/>
  <c r="O65" i="2"/>
  <c r="P53" i="2"/>
  <c r="T64" i="2"/>
  <c r="AA65" i="2"/>
  <c r="O70" i="2"/>
  <c r="P8" i="2"/>
  <c r="E114" i="2"/>
  <c r="AB115" i="2"/>
  <c r="AF115" i="2" s="1"/>
  <c r="O72" i="2"/>
  <c r="O76" i="2"/>
  <c r="J115" i="2"/>
  <c r="P123" i="2"/>
  <c r="U68" i="2"/>
  <c r="O10" i="2"/>
  <c r="E12" i="2"/>
  <c r="AD13" i="2"/>
  <c r="E71" i="2"/>
  <c r="U19" i="2"/>
  <c r="T33" i="2"/>
  <c r="P55" i="2"/>
  <c r="T71" i="2"/>
  <c r="P81" i="2"/>
  <c r="AD130" i="2"/>
  <c r="P135" i="2"/>
  <c r="P63" i="2"/>
  <c r="AA80" i="2"/>
  <c r="Y99" i="2"/>
  <c r="J109" i="2"/>
  <c r="O130" i="2"/>
  <c r="Y134" i="2"/>
  <c r="T136" i="2"/>
  <c r="J36" i="2"/>
  <c r="O37" i="2"/>
  <c r="P56" i="2"/>
  <c r="AD57" i="2"/>
  <c r="AA73" i="2"/>
  <c r="AD74" i="2"/>
  <c r="O126" i="2"/>
  <c r="J127" i="2"/>
  <c r="O79" i="2"/>
  <c r="O110" i="2"/>
  <c r="W131" i="2"/>
  <c r="Z131" i="2" s="1"/>
  <c r="T127" i="2"/>
  <c r="L136" i="2"/>
  <c r="L140" i="2" s="1"/>
  <c r="W140" i="2"/>
  <c r="Z140" i="2" s="1"/>
  <c r="O139" i="2"/>
  <c r="Y12" i="2"/>
  <c r="H31" i="2"/>
  <c r="AB52" i="2"/>
  <c r="AF52" i="2" s="1"/>
  <c r="J67" i="2"/>
  <c r="F82" i="2"/>
  <c r="P90" i="2"/>
  <c r="Y139" i="2"/>
  <c r="AA44" i="2"/>
  <c r="AD44" i="2" s="1"/>
  <c r="T45" i="2"/>
  <c r="O67" i="2"/>
  <c r="J68" i="2"/>
  <c r="AA79" i="2"/>
  <c r="AD85" i="2"/>
  <c r="O87" i="2"/>
  <c r="AD89" i="2"/>
  <c r="Y127" i="2"/>
  <c r="AA110" i="2"/>
  <c r="AD110" i="2" s="1"/>
  <c r="AA116" i="2"/>
  <c r="AD116" i="2" s="1"/>
  <c r="O26" i="2"/>
  <c r="AB35" i="2"/>
  <c r="AE35" i="2" s="1"/>
  <c r="J40" i="2"/>
  <c r="AB55" i="2"/>
  <c r="AF55" i="2" s="1"/>
  <c r="T62" i="2"/>
  <c r="K67" i="2"/>
  <c r="P72" i="2"/>
  <c r="K73" i="2"/>
  <c r="L77" i="2"/>
  <c r="O81" i="2"/>
  <c r="E83" i="2"/>
  <c r="T99" i="2"/>
  <c r="AB100" i="2"/>
  <c r="AE100" i="2" s="1"/>
  <c r="Q105" i="2"/>
  <c r="T105" i="2" s="1"/>
  <c r="P104" i="2"/>
  <c r="Y105" i="2"/>
  <c r="O109" i="2"/>
  <c r="J122" i="2"/>
  <c r="AE58" i="2"/>
  <c r="E69" i="2"/>
  <c r="F80" i="2"/>
  <c r="F15" i="2"/>
  <c r="AA24" i="2"/>
  <c r="AD24" i="2" s="1"/>
  <c r="B26" i="2"/>
  <c r="E26" i="2" s="1"/>
  <c r="P41" i="2"/>
  <c r="O58" i="2"/>
  <c r="F62" i="2"/>
  <c r="AB82" i="2"/>
  <c r="AF82" i="2" s="1"/>
  <c r="M84" i="2"/>
  <c r="E95" i="2"/>
  <c r="AE97" i="2"/>
  <c r="G105" i="2"/>
  <c r="J105" i="2" s="1"/>
  <c r="P102" i="2"/>
  <c r="AA109" i="2"/>
  <c r="M136" i="2"/>
  <c r="M140" i="2" s="1"/>
  <c r="O33" i="2"/>
  <c r="K68" i="2"/>
  <c r="J71" i="2"/>
  <c r="O8" i="2"/>
  <c r="P10" i="2"/>
  <c r="AD16" i="2"/>
  <c r="E24" i="2"/>
  <c r="T24" i="2"/>
  <c r="T35" i="2"/>
  <c r="R36" i="2"/>
  <c r="U36" i="2" s="1"/>
  <c r="AD42" i="2"/>
  <c r="AD59" i="2"/>
  <c r="AA62" i="2"/>
  <c r="P64" i="2"/>
  <c r="U67" i="2"/>
  <c r="P68" i="2"/>
  <c r="U73" i="2"/>
  <c r="P79" i="2"/>
  <c r="E81" i="2"/>
  <c r="Y84" i="2"/>
  <c r="P97" i="2"/>
  <c r="J101" i="2"/>
  <c r="Y138" i="2"/>
  <c r="P70" i="2"/>
  <c r="AB14" i="2"/>
  <c r="AE14" i="2" s="1"/>
  <c r="R26" i="2"/>
  <c r="AB26" i="2" s="1"/>
  <c r="AB62" i="2"/>
  <c r="AF62" i="2" s="1"/>
  <c r="T68" i="2"/>
  <c r="E77" i="2"/>
  <c r="Y88" i="2"/>
  <c r="O108" i="2"/>
  <c r="O135" i="2"/>
  <c r="J136" i="2"/>
  <c r="J52" i="2"/>
  <c r="J64" i="2"/>
  <c r="O100" i="2"/>
  <c r="F114" i="2"/>
  <c r="E40" i="2"/>
  <c r="AD43" i="2"/>
  <c r="O56" i="2"/>
  <c r="O62" i="2"/>
  <c r="AD66" i="2"/>
  <c r="P69" i="2"/>
  <c r="J99" i="2"/>
  <c r="E117" i="2"/>
  <c r="O14" i="2"/>
  <c r="J17" i="2"/>
  <c r="U23" i="2"/>
  <c r="AD25" i="2"/>
  <c r="AD29" i="2"/>
  <c r="O34" i="2"/>
  <c r="O39" i="2"/>
  <c r="K52" i="2"/>
  <c r="F55" i="2"/>
  <c r="P58" i="2"/>
  <c r="AA61" i="2"/>
  <c r="AD61" i="2" s="1"/>
  <c r="P65" i="2"/>
  <c r="K71" i="2"/>
  <c r="T76" i="2"/>
  <c r="T77" i="2" s="1"/>
  <c r="AB80" i="2"/>
  <c r="AF80" i="2" s="1"/>
  <c r="J81" i="2"/>
  <c r="T81" i="2"/>
  <c r="AD93" i="2"/>
  <c r="B113" i="2"/>
  <c r="T115" i="2"/>
  <c r="P117" i="2"/>
  <c r="AD120" i="2"/>
  <c r="AD124" i="2"/>
  <c r="AE9" i="2"/>
  <c r="AB15" i="2"/>
  <c r="U20" i="2"/>
  <c r="T25" i="2"/>
  <c r="G31" i="2"/>
  <c r="AA31" i="2" s="1"/>
  <c r="AB34" i="2"/>
  <c r="AF34" i="2" s="1"/>
  <c r="AA38" i="2"/>
  <c r="AD38" i="2" s="1"/>
  <c r="AE66" i="2"/>
  <c r="AB67" i="2"/>
  <c r="AF67" i="2" s="1"/>
  <c r="P71" i="2"/>
  <c r="P73" i="2"/>
  <c r="F76" i="2"/>
  <c r="AB79" i="2"/>
  <c r="AF79" i="2" s="1"/>
  <c r="E80" i="2"/>
  <c r="U80" i="2"/>
  <c r="K81" i="2"/>
  <c r="F83" i="2"/>
  <c r="P96" i="2"/>
  <c r="O103" i="2"/>
  <c r="U109" i="2"/>
  <c r="AB111" i="2"/>
  <c r="AF111" i="2" s="1"/>
  <c r="T111" i="2"/>
  <c r="E115" i="2"/>
  <c r="O116" i="2"/>
  <c r="AA119" i="2"/>
  <c r="AD119" i="2" s="1"/>
  <c r="F127" i="2"/>
  <c r="O128" i="2"/>
  <c r="AB139" i="2"/>
  <c r="AE139" i="2" s="1"/>
  <c r="O9" i="2"/>
  <c r="AE11" i="2"/>
  <c r="O15" i="2"/>
  <c r="U25" i="2"/>
  <c r="AA33" i="2"/>
  <c r="AD33" i="2" s="1"/>
  <c r="E34" i="2"/>
  <c r="L40" i="2"/>
  <c r="O55" i="2"/>
  <c r="O57" i="2"/>
  <c r="O59" i="2"/>
  <c r="E65" i="2"/>
  <c r="O66" i="2"/>
  <c r="O69" i="2"/>
  <c r="T73" i="2"/>
  <c r="P75" i="2"/>
  <c r="E79" i="2"/>
  <c r="J88" i="2"/>
  <c r="O91" i="2"/>
  <c r="O96" i="2"/>
  <c r="AD97" i="2"/>
  <c r="E100" i="2"/>
  <c r="AB102" i="2"/>
  <c r="AF102" i="2" s="1"/>
  <c r="P103" i="2"/>
  <c r="Z105" i="2"/>
  <c r="Q113" i="2"/>
  <c r="P108" i="2"/>
  <c r="E111" i="2"/>
  <c r="P114" i="2"/>
  <c r="F115" i="2"/>
  <c r="AA121" i="2"/>
  <c r="AD121" i="2" s="1"/>
  <c r="E139" i="2"/>
  <c r="P9" i="2"/>
  <c r="O11" i="2"/>
  <c r="C17" i="2"/>
  <c r="P15" i="2"/>
  <c r="Q26" i="2"/>
  <c r="U21" i="2"/>
  <c r="F34" i="2"/>
  <c r="O38" i="2"/>
  <c r="M40" i="2"/>
  <c r="AB40" i="2" s="1"/>
  <c r="AF40" i="2" s="1"/>
  <c r="L45" i="2"/>
  <c r="O45" i="2" s="1"/>
  <c r="P57" i="2"/>
  <c r="P59" i="2"/>
  <c r="P66" i="2"/>
  <c r="O75" i="2"/>
  <c r="F79" i="2"/>
  <c r="B84" i="2"/>
  <c r="P91" i="2"/>
  <c r="AA108" i="2"/>
  <c r="AE108" i="2" s="1"/>
  <c r="AA117" i="2"/>
  <c r="Z136" i="2"/>
  <c r="F139" i="2"/>
  <c r="P37" i="2"/>
  <c r="P39" i="2"/>
  <c r="E127" i="2"/>
  <c r="V140" i="2"/>
  <c r="AA10" i="2"/>
  <c r="AD10" i="2" s="1"/>
  <c r="P11" i="2"/>
  <c r="T31" i="2"/>
  <c r="M36" i="2"/>
  <c r="P36" i="2" s="1"/>
  <c r="P38" i="2"/>
  <c r="O53" i="2"/>
  <c r="AB64" i="2"/>
  <c r="AF64" i="2" s="1"/>
  <c r="AB69" i="2"/>
  <c r="AF69" i="2" s="1"/>
  <c r="F73" i="2"/>
  <c r="P76" i="2"/>
  <c r="G84" i="2"/>
  <c r="AA81" i="2"/>
  <c r="AA82" i="2"/>
  <c r="AD82" i="2" s="1"/>
  <c r="O83" i="2"/>
  <c r="C84" i="2"/>
  <c r="AA87" i="2"/>
  <c r="AD87" i="2" s="1"/>
  <c r="T88" i="2"/>
  <c r="O92" i="2"/>
  <c r="AA95" i="2"/>
  <c r="AD95" i="2" s="1"/>
  <c r="O97" i="2"/>
  <c r="AA102" i="2"/>
  <c r="AA103" i="2"/>
  <c r="O107" i="2"/>
  <c r="E108" i="2"/>
  <c r="K109" i="2"/>
  <c r="AA111" i="2"/>
  <c r="AB114" i="2"/>
  <c r="AE114" i="2" s="1"/>
  <c r="K115" i="2"/>
  <c r="J117" i="2"/>
  <c r="AB123" i="2"/>
  <c r="AD123" i="2" s="1"/>
  <c r="L127" i="2"/>
  <c r="AB134" i="2"/>
  <c r="AF134" i="2" s="1"/>
  <c r="AA138" i="2"/>
  <c r="AD138" i="2" s="1"/>
  <c r="J139" i="2"/>
  <c r="P14" i="2"/>
  <c r="U22" i="2"/>
  <c r="J62" i="2"/>
  <c r="J73" i="2"/>
  <c r="O80" i="2"/>
  <c r="L84" i="2"/>
  <c r="L105" i="2"/>
  <c r="M127" i="2"/>
  <c r="P127" i="2" s="1"/>
  <c r="AD9" i="2"/>
  <c r="T12" i="2"/>
  <c r="AE29" i="2"/>
  <c r="AD11" i="2"/>
  <c r="AD39" i="2"/>
  <c r="AE39" i="2"/>
  <c r="AD8" i="2"/>
  <c r="AE8" i="2"/>
  <c r="AE25" i="2"/>
  <c r="AE59" i="2"/>
  <c r="AA68" i="2"/>
  <c r="M88" i="2"/>
  <c r="AB88" i="2" s="1"/>
  <c r="AF88" i="2" s="1"/>
  <c r="P86" i="2"/>
  <c r="AB86" i="2"/>
  <c r="AF86" i="2" s="1"/>
  <c r="B17" i="2"/>
  <c r="Y26" i="2"/>
  <c r="T32" i="2"/>
  <c r="AB41" i="2"/>
  <c r="AE41" i="2" s="1"/>
  <c r="O42" i="2"/>
  <c r="Y45" i="2"/>
  <c r="O63" i="2"/>
  <c r="AB68" i="2"/>
  <c r="AF68" i="2" s="1"/>
  <c r="F68" i="2"/>
  <c r="O68" i="2"/>
  <c r="O134" i="2"/>
  <c r="AA134" i="2"/>
  <c r="T10" i="2"/>
  <c r="L12" i="2"/>
  <c r="AA12" i="2" s="1"/>
  <c r="V49" i="2"/>
  <c r="M17" i="2"/>
  <c r="P17" i="2" s="1"/>
  <c r="AA21" i="2"/>
  <c r="AD21" i="2" s="1"/>
  <c r="AA22" i="2"/>
  <c r="AD22" i="2" s="1"/>
  <c r="AA23" i="2"/>
  <c r="AD23" i="2" s="1"/>
  <c r="P26" i="2"/>
  <c r="J27" i="2"/>
  <c r="AA27" i="2"/>
  <c r="AD27" i="2" s="1"/>
  <c r="J28" i="2"/>
  <c r="J29" i="2"/>
  <c r="F31" i="2"/>
  <c r="Q40" i="2"/>
  <c r="T40" i="2" s="1"/>
  <c r="O41" i="2"/>
  <c r="O52" i="2"/>
  <c r="AA67" i="2"/>
  <c r="E67" i="2"/>
  <c r="O101" i="2"/>
  <c r="AA101" i="2"/>
  <c r="E103" i="2"/>
  <c r="U115" i="2"/>
  <c r="J118" i="2"/>
  <c r="P134" i="2"/>
  <c r="V77" i="2"/>
  <c r="Y77" i="2" s="1"/>
  <c r="Y76" i="2"/>
  <c r="P94" i="2"/>
  <c r="O94" i="2"/>
  <c r="F109" i="2"/>
  <c r="C113" i="2"/>
  <c r="AB109" i="2"/>
  <c r="AF109" i="2" s="1"/>
  <c r="E31" i="2"/>
  <c r="K65" i="2"/>
  <c r="J65" i="2"/>
  <c r="P67" i="2"/>
  <c r="E109" i="2"/>
  <c r="M12" i="2"/>
  <c r="AB12" i="2" s="1"/>
  <c r="W49" i="2"/>
  <c r="E13" i="2"/>
  <c r="E14" i="2"/>
  <c r="E16" i="2"/>
  <c r="AA19" i="2"/>
  <c r="AD19" i="2" s="1"/>
  <c r="AB20" i="2"/>
  <c r="AF20" i="2" s="1"/>
  <c r="K28" i="2"/>
  <c r="AB28" i="2"/>
  <c r="AE28" i="2" s="1"/>
  <c r="K29" i="2"/>
  <c r="AA47" i="2"/>
  <c r="AD47" i="2" s="1"/>
  <c r="P52" i="2"/>
  <c r="AD58" i="2"/>
  <c r="F71" i="2"/>
  <c r="AB71" i="2"/>
  <c r="AF71" i="2" s="1"/>
  <c r="F77" i="2"/>
  <c r="M105" i="2"/>
  <c r="P101" i="2"/>
  <c r="AB101" i="2"/>
  <c r="AF101" i="2" s="1"/>
  <c r="P30" i="2"/>
  <c r="O30" i="2"/>
  <c r="AA69" i="2"/>
  <c r="J69" i="2"/>
  <c r="F12" i="2"/>
  <c r="AD18" i="2"/>
  <c r="J26" i="2"/>
  <c r="Y31" i="2"/>
  <c r="AB32" i="2"/>
  <c r="AE32" i="2" s="1"/>
  <c r="P32" i="2"/>
  <c r="E45" i="2"/>
  <c r="AA56" i="2"/>
  <c r="U62" i="2"/>
  <c r="K69" i="2"/>
  <c r="O73" i="2"/>
  <c r="AB73" i="2"/>
  <c r="AF73" i="2" s="1"/>
  <c r="U79" i="2"/>
  <c r="P93" i="2"/>
  <c r="O93" i="2"/>
  <c r="K128" i="2"/>
  <c r="J128" i="2"/>
  <c r="H77" i="2"/>
  <c r="H131" i="2" s="1"/>
  <c r="K76" i="2"/>
  <c r="P98" i="2"/>
  <c r="O98" i="2"/>
  <c r="F14" i="2"/>
  <c r="AB56" i="2"/>
  <c r="AF56" i="2" s="1"/>
  <c r="T79" i="2"/>
  <c r="Q84" i="2"/>
  <c r="T21" i="2"/>
  <c r="T22" i="2"/>
  <c r="T23" i="2"/>
  <c r="AB30" i="2"/>
  <c r="AE30" i="2" s="1"/>
  <c r="M31" i="2"/>
  <c r="O32" i="2"/>
  <c r="AA37" i="2"/>
  <c r="AD37" i="2" s="1"/>
  <c r="Y40" i="2"/>
  <c r="AA46" i="2"/>
  <c r="AD46" i="2" s="1"/>
  <c r="J56" i="2"/>
  <c r="U56" i="2"/>
  <c r="AE57" i="2"/>
  <c r="AB65" i="2"/>
  <c r="AF65" i="2" s="1"/>
  <c r="T65" i="2"/>
  <c r="AA71" i="2"/>
  <c r="E73" i="2"/>
  <c r="AE91" i="2"/>
  <c r="AD91" i="2"/>
  <c r="AE93" i="2"/>
  <c r="AA94" i="2"/>
  <c r="AD94" i="2" s="1"/>
  <c r="P95" i="2"/>
  <c r="O95" i="2"/>
  <c r="AA98" i="2"/>
  <c r="AD98" i="2" s="1"/>
  <c r="AB45" i="2"/>
  <c r="AE45" i="2" s="1"/>
  <c r="AA48" i="2"/>
  <c r="AD48" i="2" s="1"/>
  <c r="T48" i="2"/>
  <c r="B36" i="2"/>
  <c r="J45" i="2"/>
  <c r="K62" i="2"/>
  <c r="AB63" i="2"/>
  <c r="AF63" i="2" s="1"/>
  <c r="O64" i="2"/>
  <c r="AA64" i="2"/>
  <c r="O71" i="2"/>
  <c r="L88" i="2"/>
  <c r="O86" i="2"/>
  <c r="AA86" i="2"/>
  <c r="AA52" i="2"/>
  <c r="AA53" i="2"/>
  <c r="AD53" i="2" s="1"/>
  <c r="AB54" i="2"/>
  <c r="AE54" i="2" s="1"/>
  <c r="AA55" i="2"/>
  <c r="AA92" i="2"/>
  <c r="AD92" i="2" s="1"/>
  <c r="B105" i="2"/>
  <c r="F105" i="2" s="1"/>
  <c r="AA104" i="2"/>
  <c r="E52" i="2"/>
  <c r="O54" i="2"/>
  <c r="J60" i="2"/>
  <c r="AA72" i="2"/>
  <c r="P82" i="2"/>
  <c r="AB104" i="2"/>
  <c r="AF104" i="2" s="1"/>
  <c r="P107" i="2"/>
  <c r="P110" i="2"/>
  <c r="U111" i="2"/>
  <c r="F67" i="2"/>
  <c r="AB75" i="2"/>
  <c r="AE75" i="2" s="1"/>
  <c r="AA76" i="2"/>
  <c r="AB81" i="2"/>
  <c r="AF81" i="2" s="1"/>
  <c r="P87" i="2"/>
  <c r="L99" i="2"/>
  <c r="AA90" i="2"/>
  <c r="AB96" i="2"/>
  <c r="AE96" i="2" s="1"/>
  <c r="AB103" i="2"/>
  <c r="AF103" i="2" s="1"/>
  <c r="AA106" i="2"/>
  <c r="AD106" i="2" s="1"/>
  <c r="L113" i="2"/>
  <c r="O120" i="2"/>
  <c r="E136" i="2"/>
  <c r="AB70" i="2"/>
  <c r="AE70" i="2" s="1"/>
  <c r="M99" i="2"/>
  <c r="AA115" i="2"/>
  <c r="O115" i="2"/>
  <c r="AB76" i="2"/>
  <c r="AF76" i="2" s="1"/>
  <c r="E76" i="2"/>
  <c r="M77" i="2"/>
  <c r="P109" i="2"/>
  <c r="M113" i="2"/>
  <c r="AB128" i="2"/>
  <c r="AE128" i="2" s="1"/>
  <c r="E128" i="2"/>
  <c r="AB90" i="2"/>
  <c r="AF90" i="2" s="1"/>
  <c r="C140" i="2"/>
  <c r="AA78" i="2"/>
  <c r="AD78" i="2" s="1"/>
  <c r="AA83" i="2"/>
  <c r="AB107" i="2"/>
  <c r="AE107" i="2" s="1"/>
  <c r="AA126" i="2"/>
  <c r="AA129" i="2"/>
  <c r="AD129" i="2" s="1"/>
  <c r="AA135" i="2"/>
  <c r="Q139" i="2"/>
  <c r="T139" i="2" s="1"/>
  <c r="G140" i="2"/>
  <c r="R84" i="2"/>
  <c r="E101" i="2"/>
  <c r="O111" i="2"/>
  <c r="AB112" i="2"/>
  <c r="AE112" i="2" s="1"/>
  <c r="R113" i="2"/>
  <c r="AB117" i="2"/>
  <c r="AF117" i="2" s="1"/>
  <c r="AB125" i="2"/>
  <c r="AE125" i="2" s="1"/>
  <c r="AB126" i="2"/>
  <c r="AE126" i="2" s="1"/>
  <c r="AB135" i="2"/>
  <c r="AF135" i="2" s="1"/>
  <c r="H140" i="2"/>
  <c r="K140" i="2" s="1"/>
  <c r="R140" i="2"/>
  <c r="U140" i="2" s="1"/>
  <c r="F100" i="2"/>
  <c r="O112" i="2"/>
  <c r="O125" i="2"/>
  <c r="E88" i="1"/>
  <c r="M96" i="1"/>
  <c r="L96" i="1"/>
  <c r="V96" i="1"/>
  <c r="X96" i="1" s="1"/>
  <c r="M8" i="1"/>
  <c r="Y28" i="1"/>
  <c r="V31" i="1"/>
  <c r="D31" i="1"/>
  <c r="P32" i="1"/>
  <c r="W37" i="1"/>
  <c r="Y37" i="1" s="1"/>
  <c r="M39" i="1"/>
  <c r="L39" i="1"/>
  <c r="M41" i="1"/>
  <c r="W45" i="1"/>
  <c r="Y45" i="1" s="1"/>
  <c r="E45" i="1"/>
  <c r="L58" i="1"/>
  <c r="W65" i="1"/>
  <c r="Y65" i="1" s="1"/>
  <c r="W67" i="1"/>
  <c r="I67" i="1"/>
  <c r="L69" i="1"/>
  <c r="H71" i="1"/>
  <c r="X71" i="1"/>
  <c r="M87" i="1"/>
  <c r="W87" i="1"/>
  <c r="Y87" i="1" s="1"/>
  <c r="D88" i="1"/>
  <c r="Y96" i="1"/>
  <c r="W127" i="1"/>
  <c r="Y127" i="1" s="1"/>
  <c r="E127" i="1"/>
  <c r="G49" i="1"/>
  <c r="W17" i="1"/>
  <c r="V10" i="1"/>
  <c r="X10" i="1" s="1"/>
  <c r="X11" i="1"/>
  <c r="H12" i="1"/>
  <c r="L17" i="1"/>
  <c r="W20" i="1"/>
  <c r="Q20" i="1"/>
  <c r="X22" i="1"/>
  <c r="P24" i="1"/>
  <c r="E31" i="1"/>
  <c r="W36" i="1"/>
  <c r="L37" i="1"/>
  <c r="T45" i="1"/>
  <c r="C131" i="1"/>
  <c r="W55" i="1"/>
  <c r="Y55" i="1" s="1"/>
  <c r="E55" i="1"/>
  <c r="P64" i="1"/>
  <c r="L65" i="1"/>
  <c r="X68" i="1"/>
  <c r="X73" i="1"/>
  <c r="H77" i="1"/>
  <c r="V79" i="1"/>
  <c r="X79" i="1" s="1"/>
  <c r="D81" i="1"/>
  <c r="V81" i="1"/>
  <c r="E81" i="1"/>
  <c r="W83" i="1"/>
  <c r="E83" i="1"/>
  <c r="D83" i="1"/>
  <c r="L87" i="1"/>
  <c r="Y92" i="1"/>
  <c r="L94" i="1"/>
  <c r="V94" i="1"/>
  <c r="X94" i="1" s="1"/>
  <c r="V111" i="1"/>
  <c r="X111" i="1" s="1"/>
  <c r="F113" i="1"/>
  <c r="H111" i="1"/>
  <c r="X114" i="1"/>
  <c r="V117" i="1"/>
  <c r="X117" i="1" s="1"/>
  <c r="H117" i="1"/>
  <c r="Y94" i="1"/>
  <c r="L11" i="1"/>
  <c r="R49" i="1"/>
  <c r="W22" i="1"/>
  <c r="Y22" i="1" s="1"/>
  <c r="Q22" i="1"/>
  <c r="W24" i="1"/>
  <c r="Y24" i="1" s="1"/>
  <c r="Q24" i="1"/>
  <c r="N36" i="1"/>
  <c r="P36" i="1" s="1"/>
  <c r="P33" i="1"/>
  <c r="W114" i="1"/>
  <c r="Y114" i="1" s="1"/>
  <c r="E114" i="1"/>
  <c r="V45" i="1"/>
  <c r="D45" i="1"/>
  <c r="X87" i="1"/>
  <c r="K12" i="1"/>
  <c r="P22" i="1"/>
  <c r="V24" i="1"/>
  <c r="B26" i="1"/>
  <c r="D24" i="1"/>
  <c r="Y29" i="1"/>
  <c r="H36" i="1"/>
  <c r="L57" i="1"/>
  <c r="M62" i="1"/>
  <c r="D69" i="1"/>
  <c r="G77" i="1"/>
  <c r="I77" i="1" s="1"/>
  <c r="I76" i="1"/>
  <c r="E79" i="1"/>
  <c r="Q79" i="1"/>
  <c r="O84" i="1"/>
  <c r="Q84" i="1" s="1"/>
  <c r="B84" i="1"/>
  <c r="Y90" i="1"/>
  <c r="L92" i="1"/>
  <c r="V92" i="1"/>
  <c r="X92" i="1" s="1"/>
  <c r="J12" i="1"/>
  <c r="L9" i="1"/>
  <c r="W9" i="1"/>
  <c r="Y9" i="1" s="1"/>
  <c r="M10" i="1"/>
  <c r="C49" i="1"/>
  <c r="X16" i="1"/>
  <c r="V33" i="1"/>
  <c r="X33" i="1" s="1"/>
  <c r="B36" i="1"/>
  <c r="D33" i="1"/>
  <c r="M36" i="1"/>
  <c r="L42" i="1"/>
  <c r="Y66" i="1"/>
  <c r="Q67" i="1"/>
  <c r="H76" i="1"/>
  <c r="C84" i="1"/>
  <c r="Y100" i="1"/>
  <c r="X37" i="1"/>
  <c r="X65" i="1"/>
  <c r="N26" i="1"/>
  <c r="V19" i="1"/>
  <c r="P19" i="1"/>
  <c r="X21" i="1"/>
  <c r="X23" i="1"/>
  <c r="V25" i="1"/>
  <c r="P25" i="1"/>
  <c r="W32" i="1"/>
  <c r="Y32" i="1" s="1"/>
  <c r="Q36" i="1"/>
  <c r="J40" i="1"/>
  <c r="L40" i="1" s="1"/>
  <c r="L38" i="1"/>
  <c r="X39" i="1"/>
  <c r="V41" i="1"/>
  <c r="X41" i="1" s="1"/>
  <c r="X55" i="1"/>
  <c r="W58" i="1"/>
  <c r="Y58" i="1" s="1"/>
  <c r="L59" i="1"/>
  <c r="I64" i="1"/>
  <c r="H64" i="1"/>
  <c r="E65" i="1"/>
  <c r="D65" i="1"/>
  <c r="W69" i="1"/>
  <c r="Y69" i="1" s="1"/>
  <c r="Q80" i="1"/>
  <c r="P80" i="1"/>
  <c r="J99" i="1"/>
  <c r="L90" i="1"/>
  <c r="V90" i="1"/>
  <c r="X90" i="1" s="1"/>
  <c r="I99" i="1"/>
  <c r="W99" i="1"/>
  <c r="V105" i="1"/>
  <c r="X105" i="1" s="1"/>
  <c r="D105" i="1"/>
  <c r="N105" i="1"/>
  <c r="P105" i="1" s="1"/>
  <c r="P102" i="1"/>
  <c r="W139" i="1"/>
  <c r="Y139" i="1" s="1"/>
  <c r="E139" i="1"/>
  <c r="W62" i="1"/>
  <c r="Y62" i="1" s="1"/>
  <c r="E62" i="1"/>
  <c r="D62" i="1"/>
  <c r="T12" i="1"/>
  <c r="S49" i="1"/>
  <c r="W8" i="1"/>
  <c r="Y8" i="1" s="1"/>
  <c r="E12" i="1"/>
  <c r="N12" i="1"/>
  <c r="B17" i="1"/>
  <c r="O26" i="1"/>
  <c r="Q26" i="1" s="1"/>
  <c r="W19" i="1"/>
  <c r="Y19" i="1" s="1"/>
  <c r="Q19" i="1"/>
  <c r="W21" i="1"/>
  <c r="Y21" i="1" s="1"/>
  <c r="Q21" i="1"/>
  <c r="W23" i="1"/>
  <c r="Y23" i="1" s="1"/>
  <c r="Q23" i="1"/>
  <c r="W25" i="1"/>
  <c r="Y25" i="1" s="1"/>
  <c r="Q25" i="1"/>
  <c r="X32" i="1"/>
  <c r="K40" i="1"/>
  <c r="M38" i="1"/>
  <c r="W38" i="1"/>
  <c r="Y38" i="1" s="1"/>
  <c r="W39" i="1"/>
  <c r="Y39" i="1" s="1"/>
  <c r="W41" i="1"/>
  <c r="G131" i="1"/>
  <c r="W52" i="1"/>
  <c r="I52" i="1"/>
  <c r="M66" i="1"/>
  <c r="V80" i="1"/>
  <c r="E80" i="1"/>
  <c r="D80" i="1"/>
  <c r="D82" i="1"/>
  <c r="W82" i="1"/>
  <c r="E82" i="1"/>
  <c r="X97" i="1"/>
  <c r="W14" i="1"/>
  <c r="Y14" i="1" s="1"/>
  <c r="V62" i="1"/>
  <c r="W81" i="1"/>
  <c r="Y81" i="1" s="1"/>
  <c r="K99" i="1"/>
  <c r="M99" i="1" s="1"/>
  <c r="M90" i="1"/>
  <c r="M92" i="1"/>
  <c r="M94" i="1"/>
  <c r="J105" i="1"/>
  <c r="L105" i="1" s="1"/>
  <c r="L100" i="1"/>
  <c r="V100" i="1"/>
  <c r="X100" i="1" s="1"/>
  <c r="M104" i="1"/>
  <c r="L104" i="1"/>
  <c r="X128" i="1"/>
  <c r="Y128" i="1"/>
  <c r="W136" i="1"/>
  <c r="E136" i="1"/>
  <c r="J36" i="1"/>
  <c r="L36" i="1" s="1"/>
  <c r="V46" i="1"/>
  <c r="X46" i="1" s="1"/>
  <c r="F131" i="1"/>
  <c r="H131" i="1" s="1"/>
  <c r="W63" i="1"/>
  <c r="Y63" i="1" s="1"/>
  <c r="W75" i="1"/>
  <c r="Y75" i="1" s="1"/>
  <c r="F84" i="1"/>
  <c r="H84" i="1" s="1"/>
  <c r="X95" i="1"/>
  <c r="M97" i="1"/>
  <c r="L97" i="1"/>
  <c r="M109" i="1"/>
  <c r="L109" i="1"/>
  <c r="E115" i="1"/>
  <c r="W115" i="1"/>
  <c r="Y115" i="1" s="1"/>
  <c r="D115" i="1"/>
  <c r="Y117" i="1"/>
  <c r="C140" i="1"/>
  <c r="F31" i="1"/>
  <c r="H31" i="1" s="1"/>
  <c r="S131" i="1"/>
  <c r="L86" i="1"/>
  <c r="W91" i="1"/>
  <c r="Y91" i="1" s="1"/>
  <c r="W93" i="1"/>
  <c r="Y93" i="1" s="1"/>
  <c r="W98" i="1"/>
  <c r="V134" i="1"/>
  <c r="T134" i="1"/>
  <c r="R136" i="1"/>
  <c r="V138" i="1"/>
  <c r="X138" i="1" s="1"/>
  <c r="T138" i="1"/>
  <c r="R139" i="1"/>
  <c r="T139" i="1" s="1"/>
  <c r="E26" i="1"/>
  <c r="H27" i="1"/>
  <c r="H28" i="1"/>
  <c r="H29" i="1"/>
  <c r="G31" i="1"/>
  <c r="L32" i="1"/>
  <c r="B131" i="1"/>
  <c r="L52" i="1"/>
  <c r="V52" i="1"/>
  <c r="X52" i="1" s="1"/>
  <c r="V61" i="1"/>
  <c r="X61" i="1" s="1"/>
  <c r="V64" i="1"/>
  <c r="H65" i="1"/>
  <c r="E68" i="1"/>
  <c r="H69" i="1"/>
  <c r="W71" i="1"/>
  <c r="Y71" i="1" s="1"/>
  <c r="E73" i="1"/>
  <c r="M75" i="1"/>
  <c r="V83" i="1"/>
  <c r="X83" i="1" s="1"/>
  <c r="X85" i="1"/>
  <c r="L91" i="1"/>
  <c r="L93" i="1"/>
  <c r="M95" i="1"/>
  <c r="L95" i="1"/>
  <c r="E109" i="1"/>
  <c r="D109" i="1"/>
  <c r="V109" i="1"/>
  <c r="X109" i="1" s="1"/>
  <c r="Y111" i="1"/>
  <c r="L139" i="1"/>
  <c r="S140" i="1"/>
  <c r="U140" i="1" s="1"/>
  <c r="I28" i="1"/>
  <c r="I29" i="1"/>
  <c r="M32" i="1"/>
  <c r="M52" i="1"/>
  <c r="W53" i="1"/>
  <c r="Y53" i="1" s="1"/>
  <c r="H62" i="1"/>
  <c r="P62" i="1"/>
  <c r="L64" i="1"/>
  <c r="W64" i="1"/>
  <c r="Y64" i="1" s="1"/>
  <c r="D67" i="1"/>
  <c r="L67" i="1"/>
  <c r="V67" i="1"/>
  <c r="X67" i="1" s="1"/>
  <c r="W76" i="1"/>
  <c r="D76" i="1"/>
  <c r="C77" i="1"/>
  <c r="J84" i="1"/>
  <c r="L84" i="1" s="1"/>
  <c r="K88" i="1"/>
  <c r="L98" i="1"/>
  <c r="N131" i="1"/>
  <c r="V56" i="1"/>
  <c r="X56" i="1" s="1"/>
  <c r="E76" i="1"/>
  <c r="D77" i="1"/>
  <c r="D79" i="1"/>
  <c r="W80" i="1"/>
  <c r="Y80" i="1" s="1"/>
  <c r="L81" i="1"/>
  <c r="K84" i="1"/>
  <c r="K131" i="1" s="1"/>
  <c r="H99" i="1"/>
  <c r="Y105" i="1"/>
  <c r="V102" i="1"/>
  <c r="Y108" i="1"/>
  <c r="V98" i="1"/>
  <c r="X98" i="1" s="1"/>
  <c r="W103" i="1"/>
  <c r="Y103" i="1" s="1"/>
  <c r="B113" i="1"/>
  <c r="J113" i="1"/>
  <c r="L113" i="1" s="1"/>
  <c r="H122" i="1"/>
  <c r="W123" i="1"/>
  <c r="J127" i="1"/>
  <c r="L127" i="1" s="1"/>
  <c r="J136" i="1"/>
  <c r="M136" i="1" s="1"/>
  <c r="B140" i="1"/>
  <c r="V86" i="1"/>
  <c r="X86" i="1" s="1"/>
  <c r="D114" i="1"/>
  <c r="V119" i="1"/>
  <c r="X119" i="1" s="1"/>
  <c r="D127" i="1"/>
  <c r="E128" i="1"/>
  <c r="V101" i="1"/>
  <c r="X101" i="1" s="1"/>
  <c r="V107" i="1"/>
  <c r="X107" i="1" s="1"/>
  <c r="W110" i="1"/>
  <c r="Y110" i="1" s="1"/>
  <c r="V130" i="1"/>
  <c r="X130" i="1" s="1"/>
  <c r="B99" i="1"/>
  <c r="W107" i="1"/>
  <c r="V126" i="1"/>
  <c r="X126" i="1" s="1"/>
  <c r="V135" i="1"/>
  <c r="X135" i="1" s="1"/>
  <c r="V136" i="1"/>
  <c r="X136" i="1" s="1"/>
  <c r="F140" i="1"/>
  <c r="H140" i="1" s="1"/>
  <c r="N140" i="1"/>
  <c r="P140" i="1" s="1"/>
  <c r="D100" i="1"/>
  <c r="D101" i="1"/>
  <c r="M101" i="1"/>
  <c r="L111" i="1"/>
  <c r="W112" i="1"/>
  <c r="Y112" i="1" s="1"/>
  <c r="O113" i="1"/>
  <c r="Q113" i="1" s="1"/>
  <c r="W125" i="1"/>
  <c r="Y125" i="1" s="1"/>
  <c r="W134" i="1"/>
  <c r="Y134" i="1" s="1"/>
  <c r="E100" i="1"/>
  <c r="L108" i="1"/>
  <c r="L117" i="1"/>
  <c r="F26" i="2" l="1"/>
  <c r="AF26" i="2"/>
  <c r="AF12" i="2"/>
  <c r="AC131" i="2"/>
  <c r="D132" i="2"/>
  <c r="D141" i="2" s="1"/>
  <c r="X132" i="2"/>
  <c r="X141" i="2" s="1"/>
  <c r="AF100" i="2"/>
  <c r="S132" i="2"/>
  <c r="S141" i="2" s="1"/>
  <c r="I132" i="2"/>
  <c r="I141" i="2" s="1"/>
  <c r="Y49" i="2"/>
  <c r="Y50" i="2" s="1"/>
  <c r="AD100" i="2"/>
  <c r="AC140" i="2"/>
  <c r="O140" i="2"/>
  <c r="AC49" i="2"/>
  <c r="AC50" i="2"/>
  <c r="N132" i="2"/>
  <c r="AF139" i="2"/>
  <c r="AF75" i="2"/>
  <c r="AF41" i="2"/>
  <c r="AF70" i="2"/>
  <c r="AF125" i="2"/>
  <c r="AF96" i="2"/>
  <c r="AF107" i="2"/>
  <c r="AF28" i="2"/>
  <c r="AF126" i="2"/>
  <c r="AF112" i="2"/>
  <c r="AF45" i="2"/>
  <c r="AF14" i="2"/>
  <c r="AF128" i="2"/>
  <c r="AE15" i="2"/>
  <c r="AF15" i="2"/>
  <c r="AF114" i="2"/>
  <c r="AF123" i="2"/>
  <c r="AF30" i="2"/>
  <c r="AF32" i="2"/>
  <c r="AF35" i="2"/>
  <c r="AF54" i="2"/>
  <c r="O136" i="2"/>
  <c r="P140" i="2"/>
  <c r="C49" i="2"/>
  <c r="C50" i="2" s="1"/>
  <c r="P136" i="2"/>
  <c r="AB136" i="2"/>
  <c r="AF136" i="2" s="1"/>
  <c r="AA136" i="2"/>
  <c r="AE65" i="2"/>
  <c r="AE73" i="2"/>
  <c r="AD55" i="2"/>
  <c r="AE95" i="2"/>
  <c r="F36" i="2"/>
  <c r="AD79" i="2"/>
  <c r="AE103" i="2"/>
  <c r="J113" i="2"/>
  <c r="AD115" i="2"/>
  <c r="G49" i="2"/>
  <c r="G50" i="2" s="1"/>
  <c r="AE80" i="2"/>
  <c r="U113" i="2"/>
  <c r="AE79" i="2"/>
  <c r="AD111" i="2"/>
  <c r="AD54" i="2"/>
  <c r="AE82" i="2"/>
  <c r="G131" i="2"/>
  <c r="K131" i="2" s="1"/>
  <c r="AD52" i="2"/>
  <c r="P40" i="2"/>
  <c r="J31" i="2"/>
  <c r="P99" i="2"/>
  <c r="AD67" i="2"/>
  <c r="O84" i="2"/>
  <c r="AD14" i="2"/>
  <c r="AE81" i="2"/>
  <c r="AD32" i="2"/>
  <c r="Y140" i="2"/>
  <c r="V131" i="2"/>
  <c r="Y131" i="2" s="1"/>
  <c r="O127" i="2"/>
  <c r="AE24" i="2"/>
  <c r="L131" i="2"/>
  <c r="AB36" i="2"/>
  <c r="AF36" i="2" s="1"/>
  <c r="AD108" i="2"/>
  <c r="AE110" i="2"/>
  <c r="K31" i="2"/>
  <c r="O113" i="2"/>
  <c r="J140" i="2"/>
  <c r="AE76" i="2"/>
  <c r="H49" i="2"/>
  <c r="AD101" i="2"/>
  <c r="AE38" i="2"/>
  <c r="R49" i="2"/>
  <c r="R50" i="2" s="1"/>
  <c r="AD109" i="2"/>
  <c r="AE90" i="2"/>
  <c r="AE10" i="2"/>
  <c r="T36" i="2"/>
  <c r="AD62" i="2"/>
  <c r="T26" i="2"/>
  <c r="AD104" i="2"/>
  <c r="J84" i="2"/>
  <c r="AD35" i="2"/>
  <c r="O105" i="2"/>
  <c r="B131" i="2"/>
  <c r="AE12" i="2"/>
  <c r="T84" i="2"/>
  <c r="AE62" i="2"/>
  <c r="AD117" i="2"/>
  <c r="AE109" i="2"/>
  <c r="AE134" i="2"/>
  <c r="AD114" i="2"/>
  <c r="AE123" i="2"/>
  <c r="AD56" i="2"/>
  <c r="AD30" i="2"/>
  <c r="E84" i="2"/>
  <c r="E113" i="2"/>
  <c r="AE86" i="2"/>
  <c r="U26" i="2"/>
  <c r="AE87" i="2"/>
  <c r="AE135" i="2"/>
  <c r="AB99" i="2"/>
  <c r="AF99" i="2" s="1"/>
  <c r="AD134" i="2"/>
  <c r="AE23" i="2"/>
  <c r="AD80" i="2"/>
  <c r="AA45" i="2"/>
  <c r="AD45" i="2" s="1"/>
  <c r="AD69" i="2"/>
  <c r="AE117" i="2"/>
  <c r="O88" i="2"/>
  <c r="AA40" i="2"/>
  <c r="AA88" i="2"/>
  <c r="AE88" i="2" s="1"/>
  <c r="AD15" i="2"/>
  <c r="Q49" i="2"/>
  <c r="O36" i="2"/>
  <c r="AE92" i="2"/>
  <c r="AD96" i="2"/>
  <c r="AA127" i="2"/>
  <c r="AD75" i="2"/>
  <c r="F84" i="2"/>
  <c r="AE71" i="2"/>
  <c r="AE102" i="2"/>
  <c r="AD102" i="2"/>
  <c r="P84" i="2"/>
  <c r="AD126" i="2"/>
  <c r="C131" i="2"/>
  <c r="AE68" i="2"/>
  <c r="AB127" i="2"/>
  <c r="AB77" i="2"/>
  <c r="AF77" i="2" s="1"/>
  <c r="AD64" i="2"/>
  <c r="AE67" i="2"/>
  <c r="O40" i="2"/>
  <c r="AA26" i="2"/>
  <c r="AE111" i="2"/>
  <c r="AE34" i="2"/>
  <c r="AD34" i="2"/>
  <c r="AB140" i="2"/>
  <c r="F140" i="2"/>
  <c r="B49" i="2"/>
  <c r="AE21" i="2"/>
  <c r="AE19" i="2"/>
  <c r="AD135" i="2"/>
  <c r="AA139" i="2"/>
  <c r="AD139" i="2" s="1"/>
  <c r="AD90" i="2"/>
  <c r="AD125" i="2"/>
  <c r="AE72" i="2"/>
  <c r="AD72" i="2"/>
  <c r="AA105" i="2"/>
  <c r="E105" i="2"/>
  <c r="Q131" i="2"/>
  <c r="AD71" i="2"/>
  <c r="AD12" i="2"/>
  <c r="AD103" i="2"/>
  <c r="AD28" i="2"/>
  <c r="AB17" i="2"/>
  <c r="AF17" i="2" s="1"/>
  <c r="P77" i="2"/>
  <c r="O77" i="2"/>
  <c r="AE52" i="2"/>
  <c r="AA17" i="2"/>
  <c r="E17" i="2"/>
  <c r="F17" i="2"/>
  <c r="O17" i="2"/>
  <c r="O99" i="2"/>
  <c r="AA99" i="2"/>
  <c r="AE115" i="2"/>
  <c r="AD112" i="2"/>
  <c r="AE98" i="2"/>
  <c r="AB113" i="2"/>
  <c r="AF113" i="2" s="1"/>
  <c r="F113" i="2"/>
  <c r="AA77" i="2"/>
  <c r="AA113" i="2"/>
  <c r="AE63" i="2"/>
  <c r="AD63" i="2"/>
  <c r="AA84" i="2"/>
  <c r="W50" i="2"/>
  <c r="AD86" i="2"/>
  <c r="E140" i="2"/>
  <c r="O31" i="2"/>
  <c r="P31" i="2"/>
  <c r="K77" i="2"/>
  <c r="J77" i="2"/>
  <c r="AD81" i="2"/>
  <c r="AE101" i="2"/>
  <c r="M49" i="2"/>
  <c r="P12" i="2"/>
  <c r="AD107" i="2"/>
  <c r="AE94" i="2"/>
  <c r="U84" i="2"/>
  <c r="AD83" i="2"/>
  <c r="AE83" i="2"/>
  <c r="P113" i="2"/>
  <c r="AD76" i="2"/>
  <c r="AE55" i="2"/>
  <c r="AE56" i="2"/>
  <c r="AD128" i="2"/>
  <c r="T113" i="2"/>
  <c r="V50" i="2"/>
  <c r="P88" i="2"/>
  <c r="AD41" i="2"/>
  <c r="AE22" i="2"/>
  <c r="AA36" i="2"/>
  <c r="E36" i="2"/>
  <c r="AD70" i="2"/>
  <c r="AE69" i="2"/>
  <c r="AB31" i="2"/>
  <c r="Q140" i="2"/>
  <c r="T140" i="2" s="1"/>
  <c r="AE104" i="2"/>
  <c r="AE53" i="2"/>
  <c r="AD73" i="2"/>
  <c r="AB84" i="2"/>
  <c r="AF84" i="2" s="1"/>
  <c r="R131" i="2"/>
  <c r="P105" i="2"/>
  <c r="AB105" i="2"/>
  <c r="AF105" i="2" s="1"/>
  <c r="AD20" i="2"/>
  <c r="AE20" i="2"/>
  <c r="AE64" i="2"/>
  <c r="L49" i="2"/>
  <c r="O12" i="2"/>
  <c r="AD68" i="2"/>
  <c r="AE37" i="2"/>
  <c r="AD65" i="2"/>
  <c r="X112" i="1"/>
  <c r="D17" i="1"/>
  <c r="V17" i="1"/>
  <c r="X17" i="1" s="1"/>
  <c r="D131" i="1"/>
  <c r="E17" i="1"/>
  <c r="V26" i="1"/>
  <c r="X26" i="1" s="1"/>
  <c r="D26" i="1"/>
  <c r="U131" i="1"/>
  <c r="T131" i="1"/>
  <c r="P12" i="1"/>
  <c r="N49" i="1"/>
  <c r="W84" i="1"/>
  <c r="E84" i="1"/>
  <c r="V36" i="1"/>
  <c r="X36" i="1" s="1"/>
  <c r="D36" i="1"/>
  <c r="J49" i="1"/>
  <c r="L12" i="1"/>
  <c r="X24" i="1"/>
  <c r="V40" i="1"/>
  <c r="X20" i="1"/>
  <c r="Y20" i="1"/>
  <c r="P84" i="1"/>
  <c r="Y123" i="1"/>
  <c r="X123" i="1"/>
  <c r="L88" i="1"/>
  <c r="M88" i="1"/>
  <c r="D84" i="1"/>
  <c r="V84" i="1"/>
  <c r="X84" i="1" s="1"/>
  <c r="W88" i="1"/>
  <c r="W77" i="1"/>
  <c r="E77" i="1"/>
  <c r="I31" i="1"/>
  <c r="T136" i="1"/>
  <c r="R140" i="1"/>
  <c r="T140" i="1" s="1"/>
  <c r="X93" i="1"/>
  <c r="X62" i="1"/>
  <c r="X19" i="1"/>
  <c r="X9" i="1"/>
  <c r="Y56" i="1"/>
  <c r="Y109" i="1"/>
  <c r="I113" i="1"/>
  <c r="H113" i="1"/>
  <c r="V12" i="1"/>
  <c r="X12" i="1" s="1"/>
  <c r="E131" i="1"/>
  <c r="X102" i="1"/>
  <c r="Y102" i="1"/>
  <c r="Y41" i="1"/>
  <c r="Y107" i="1"/>
  <c r="V113" i="1"/>
  <c r="D113" i="1"/>
  <c r="E113" i="1"/>
  <c r="X91" i="1"/>
  <c r="O131" i="1"/>
  <c r="Q131" i="1" s="1"/>
  <c r="X80" i="1"/>
  <c r="L99" i="1"/>
  <c r="P26" i="1"/>
  <c r="O49" i="1"/>
  <c r="X38" i="1"/>
  <c r="K49" i="1"/>
  <c r="M12" i="1"/>
  <c r="Y86" i="1"/>
  <c r="T49" i="1"/>
  <c r="R50" i="1"/>
  <c r="Y83" i="1"/>
  <c r="Y36" i="1"/>
  <c r="X14" i="1"/>
  <c r="Y67" i="1"/>
  <c r="X103" i="1"/>
  <c r="X69" i="1"/>
  <c r="I131" i="1"/>
  <c r="D99" i="1"/>
  <c r="V99" i="1"/>
  <c r="X99" i="1" s="1"/>
  <c r="M84" i="1"/>
  <c r="M113" i="1"/>
  <c r="X115" i="1"/>
  <c r="Y76" i="1"/>
  <c r="X76" i="1"/>
  <c r="X64" i="1"/>
  <c r="X134" i="1"/>
  <c r="W140" i="1"/>
  <c r="E140" i="1"/>
  <c r="W113" i="1"/>
  <c r="Y113" i="1" s="1"/>
  <c r="Y136" i="1"/>
  <c r="M40" i="1"/>
  <c r="W40" i="1"/>
  <c r="Y40" i="1" s="1"/>
  <c r="S50" i="1"/>
  <c r="U49" i="1"/>
  <c r="X8" i="1"/>
  <c r="W12" i="1"/>
  <c r="M105" i="1"/>
  <c r="Y79" i="1"/>
  <c r="P113" i="1"/>
  <c r="Y10" i="1"/>
  <c r="Y17" i="1"/>
  <c r="J131" i="1"/>
  <c r="L131" i="1" s="1"/>
  <c r="I49" i="1"/>
  <c r="G50" i="1"/>
  <c r="V140" i="1"/>
  <c r="X140" i="1" s="1"/>
  <c r="D140" i="1"/>
  <c r="X110" i="1"/>
  <c r="Y98" i="1"/>
  <c r="Y135" i="1"/>
  <c r="B49" i="1"/>
  <c r="X63" i="1"/>
  <c r="C50" i="1"/>
  <c r="W49" i="1"/>
  <c r="X81" i="1"/>
  <c r="W31" i="1"/>
  <c r="Y31" i="1" s="1"/>
  <c r="E36" i="1"/>
  <c r="X58" i="1"/>
  <c r="Y82" i="1"/>
  <c r="X82" i="1"/>
  <c r="V139" i="1"/>
  <c r="X139" i="1" s="1"/>
  <c r="L136" i="1"/>
  <c r="J140" i="1"/>
  <c r="V127" i="1"/>
  <c r="X127" i="1" s="1"/>
  <c r="Y101" i="1"/>
  <c r="X125" i="1"/>
  <c r="Y52" i="1"/>
  <c r="X53" i="1"/>
  <c r="X25" i="1"/>
  <c r="X75" i="1"/>
  <c r="W26" i="1"/>
  <c r="X45" i="1"/>
  <c r="F49" i="1"/>
  <c r="AB131" i="2" l="1"/>
  <c r="AF131" i="2" s="1"/>
  <c r="AA131" i="2"/>
  <c r="AC132" i="2"/>
  <c r="AF140" i="2"/>
  <c r="N141" i="2"/>
  <c r="AC141" i="2" s="1"/>
  <c r="F49" i="2"/>
  <c r="AE31" i="2"/>
  <c r="AF31" i="2"/>
  <c r="AE127" i="2"/>
  <c r="AF127" i="2"/>
  <c r="AD136" i="2"/>
  <c r="J131" i="2"/>
  <c r="AE136" i="2"/>
  <c r="AD99" i="2"/>
  <c r="R132" i="2"/>
  <c r="R141" i="2" s="1"/>
  <c r="J49" i="2"/>
  <c r="AD36" i="2"/>
  <c r="AD77" i="2"/>
  <c r="K49" i="2"/>
  <c r="AE84" i="2"/>
  <c r="AD88" i="2"/>
  <c r="U49" i="2"/>
  <c r="H50" i="2"/>
  <c r="J50" i="2" s="1"/>
  <c r="P131" i="2"/>
  <c r="O131" i="2"/>
  <c r="AE99" i="2"/>
  <c r="T49" i="2"/>
  <c r="AE105" i="2"/>
  <c r="Q50" i="2"/>
  <c r="Q132" i="2" s="1"/>
  <c r="F131" i="2"/>
  <c r="AD113" i="2"/>
  <c r="E131" i="2"/>
  <c r="AE113" i="2"/>
  <c r="T131" i="2"/>
  <c r="AD127" i="2"/>
  <c r="AD40" i="2"/>
  <c r="AE40" i="2"/>
  <c r="AD17" i="2"/>
  <c r="AD26" i="2"/>
  <c r="AE26" i="2"/>
  <c r="C132" i="2"/>
  <c r="AE36" i="2"/>
  <c r="AE17" i="2"/>
  <c r="AD31" i="2"/>
  <c r="AD105" i="2"/>
  <c r="AD84" i="2"/>
  <c r="AA49" i="2"/>
  <c r="E49" i="2"/>
  <c r="B50" i="2"/>
  <c r="G132" i="2"/>
  <c r="W132" i="2"/>
  <c r="P49" i="2"/>
  <c r="M50" i="2"/>
  <c r="AB49" i="2"/>
  <c r="AF49" i="2" s="1"/>
  <c r="U131" i="2"/>
  <c r="V132" i="2"/>
  <c r="AA140" i="2"/>
  <c r="AD140" i="2" s="1"/>
  <c r="O49" i="2"/>
  <c r="L50" i="2"/>
  <c r="AE77" i="2"/>
  <c r="Y140" i="1"/>
  <c r="X40" i="1"/>
  <c r="P49" i="1"/>
  <c r="N50" i="1"/>
  <c r="C132" i="1"/>
  <c r="W50" i="1"/>
  <c r="R132" i="1"/>
  <c r="T50" i="1"/>
  <c r="V131" i="1"/>
  <c r="Q49" i="1"/>
  <c r="O50" i="1"/>
  <c r="Y84" i="1"/>
  <c r="Y77" i="1"/>
  <c r="X77" i="1"/>
  <c r="L49" i="1"/>
  <c r="J50" i="1"/>
  <c r="Y49" i="1"/>
  <c r="Y12" i="1"/>
  <c r="H49" i="1"/>
  <c r="F50" i="1"/>
  <c r="Y26" i="1"/>
  <c r="L140" i="1"/>
  <c r="M140" i="1"/>
  <c r="P131" i="1"/>
  <c r="Y99" i="1"/>
  <c r="X31" i="1"/>
  <c r="G132" i="1"/>
  <c r="X113" i="1"/>
  <c r="D49" i="1"/>
  <c r="B50" i="1"/>
  <c r="V49" i="1"/>
  <c r="X49" i="1" s="1"/>
  <c r="S132" i="1"/>
  <c r="U50" i="1"/>
  <c r="E49" i="1"/>
  <c r="K50" i="1"/>
  <c r="M49" i="1"/>
  <c r="W131" i="1"/>
  <c r="Y131" i="1" s="1"/>
  <c r="Y88" i="1"/>
  <c r="X88" i="1"/>
  <c r="M131" i="1"/>
  <c r="AD131" i="2" l="1"/>
  <c r="T50" i="2"/>
  <c r="K50" i="2"/>
  <c r="H132" i="2"/>
  <c r="H141" i="2" s="1"/>
  <c r="AE49" i="2"/>
  <c r="AE131" i="2"/>
  <c r="U50" i="2"/>
  <c r="T132" i="2"/>
  <c r="Q141" i="2"/>
  <c r="T141" i="2" s="1"/>
  <c r="M132" i="2"/>
  <c r="P50" i="2"/>
  <c r="B132" i="2"/>
  <c r="F132" i="2" s="1"/>
  <c r="AA50" i="2"/>
  <c r="E50" i="2"/>
  <c r="W141" i="2"/>
  <c r="Z141" i="2" s="1"/>
  <c r="Z132" i="2"/>
  <c r="AB50" i="2"/>
  <c r="AF50" i="2" s="1"/>
  <c r="AE140" i="2"/>
  <c r="AD49" i="2"/>
  <c r="Y132" i="2"/>
  <c r="V141" i="2"/>
  <c r="C141" i="2"/>
  <c r="F50" i="2"/>
  <c r="L132" i="2"/>
  <c r="O50" i="2"/>
  <c r="G141" i="2"/>
  <c r="U132" i="2"/>
  <c r="C141" i="1"/>
  <c r="R141" i="1"/>
  <c r="T132" i="1"/>
  <c r="N132" i="1"/>
  <c r="P50" i="1"/>
  <c r="F132" i="1"/>
  <c r="H50" i="1"/>
  <c r="B132" i="1"/>
  <c r="D50" i="1"/>
  <c r="V50" i="1"/>
  <c r="X50" i="1" s="1"/>
  <c r="E50" i="1"/>
  <c r="K132" i="1"/>
  <c r="W132" i="1" s="1"/>
  <c r="M50" i="1"/>
  <c r="I132" i="1"/>
  <c r="G141" i="1"/>
  <c r="O132" i="1"/>
  <c r="Q50" i="1"/>
  <c r="U132" i="1"/>
  <c r="S141" i="1"/>
  <c r="U141" i="1" s="1"/>
  <c r="X131" i="1"/>
  <c r="I50" i="1"/>
  <c r="J132" i="1"/>
  <c r="L50" i="1"/>
  <c r="J132" i="2" l="1"/>
  <c r="K132" i="2"/>
  <c r="AB132" i="2"/>
  <c r="AF132" i="2" s="1"/>
  <c r="J141" i="2"/>
  <c r="Y141" i="2"/>
  <c r="AE50" i="2"/>
  <c r="U141" i="2"/>
  <c r="O132" i="2"/>
  <c r="L141" i="2"/>
  <c r="AD50" i="2"/>
  <c r="E132" i="2"/>
  <c r="B141" i="2"/>
  <c r="AA132" i="2"/>
  <c r="M141" i="2"/>
  <c r="AB141" i="2" s="1"/>
  <c r="AF141" i="2" s="1"/>
  <c r="P132" i="2"/>
  <c r="K141" i="2"/>
  <c r="P132" i="1"/>
  <c r="N141" i="1"/>
  <c r="P141" i="1" s="1"/>
  <c r="T141" i="1"/>
  <c r="V132" i="1"/>
  <c r="X132" i="1" s="1"/>
  <c r="B141" i="1"/>
  <c r="D132" i="1"/>
  <c r="E132" i="1"/>
  <c r="Q132" i="1"/>
  <c r="O141" i="1"/>
  <c r="M132" i="1"/>
  <c r="K141" i="1"/>
  <c r="E141" i="1"/>
  <c r="J141" i="1"/>
  <c r="L141" i="1" s="1"/>
  <c r="L132" i="1"/>
  <c r="H132" i="1"/>
  <c r="F141" i="1"/>
  <c r="H141" i="1" s="1"/>
  <c r="Y50" i="1"/>
  <c r="AD132" i="2" l="1"/>
  <c r="O141" i="2"/>
  <c r="P141" i="2"/>
  <c r="AA141" i="2"/>
  <c r="AD141" i="2" s="1"/>
  <c r="E141" i="2"/>
  <c r="F141" i="2"/>
  <c r="AE132" i="2"/>
  <c r="M141" i="1"/>
  <c r="V141" i="1"/>
  <c r="X141" i="1" s="1"/>
  <c r="D141" i="1"/>
  <c r="W141" i="1"/>
  <c r="I141" i="1"/>
  <c r="Q141" i="1"/>
  <c r="Y132" i="1"/>
  <c r="AE141" i="2" l="1"/>
  <c r="Y14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tc={1EA09A8A-B575-4EE7-B276-525E596A26A3}</author>
  </authors>
  <commentList>
    <comment ref="D19" authorId="0" shapeId="0" xr:uid="{1EA09A8A-B575-4EE7-B276-525E596A26A3}">
      <text>
        <t>[Threaded comment]
Your version of Excel allows you to read this threaded comment; however, any edits to it will get removed if the file is opened in a newer version of Excel. Learn more: https://go.microsoft.com/fwlink/?linkid=870924
Comment:
    These numbers are reflective of the testing budget being combined with Certification</t>
      </text>
    </comment>
  </commentList>
</comments>
</file>

<file path=xl/sharedStrings.xml><?xml version="1.0" encoding="utf-8"?>
<sst xmlns="http://schemas.openxmlformats.org/spreadsheetml/2006/main" count="347" uniqueCount="160">
  <si>
    <t>Certification</t>
  </si>
  <si>
    <t>Conference</t>
  </si>
  <si>
    <t>Management</t>
  </si>
  <si>
    <t>Testing</t>
  </si>
  <si>
    <t>Not Specified</t>
  </si>
  <si>
    <t>TOTAL</t>
  </si>
  <si>
    <t>Actual</t>
  </si>
  <si>
    <t>Budget</t>
  </si>
  <si>
    <t>over Budget</t>
  </si>
  <si>
    <t>% of Budget</t>
  </si>
  <si>
    <t>Income</t>
  </si>
  <si>
    <t xml:space="preserve">   4000 Membership</t>
  </si>
  <si>
    <t xml:space="preserve">      4010 Associate</t>
  </si>
  <si>
    <t xml:space="preserve">      4020 Regulatory/Voluntary Membership</t>
  </si>
  <si>
    <t xml:space="preserve">      4030 Special Memberships</t>
  </si>
  <si>
    <t xml:space="preserve">   Total 4000 Membership</t>
  </si>
  <si>
    <t xml:space="preserve">   4100 Certification</t>
  </si>
  <si>
    <t xml:space="preserve">      4110 WPI</t>
  </si>
  <si>
    <t xml:space="preserve">      4120 Professional Operator</t>
  </si>
  <si>
    <t xml:space="preserve">      4130 Certification Program (C2EP-PO)</t>
  </si>
  <si>
    <t xml:space="preserve">   Total 4100 Certification</t>
  </si>
  <si>
    <t xml:space="preserve">   4200 Testing</t>
  </si>
  <si>
    <t xml:space="preserve">      4210 Computer-Based/LRP/PSI</t>
  </si>
  <si>
    <t xml:space="preserve">      4211 PSI Pass-through</t>
  </si>
  <si>
    <t xml:space="preserve">      4220 Paper-Based</t>
  </si>
  <si>
    <t xml:space="preserve">      4230 Web-Based</t>
  </si>
  <si>
    <t xml:space="preserve">      4240 Customized Fees</t>
  </si>
  <si>
    <t xml:space="preserve">      4250 Reports and Exports</t>
  </si>
  <si>
    <t xml:space="preserve">      4260 Shipping Offsets</t>
  </si>
  <si>
    <t xml:space="preserve">   Total 4200 Testing</t>
  </si>
  <si>
    <t xml:space="preserve">   4300 Conference</t>
  </si>
  <si>
    <t xml:space="preserve">      4310 Exhibits/Sponsorship</t>
  </si>
  <si>
    <t xml:space="preserve">      4320 Registration</t>
  </si>
  <si>
    <t xml:space="preserve">      4400 Advertising</t>
  </si>
  <si>
    <t xml:space="preserve">   Total 4300 Conference</t>
  </si>
  <si>
    <t xml:space="preserve">   4401 Program Service Revenue</t>
  </si>
  <si>
    <t xml:space="preserve">   4500 Sales</t>
  </si>
  <si>
    <t xml:space="preserve">      4510 PO Store</t>
  </si>
  <si>
    <t xml:space="preserve">      4520 Amazon Store</t>
  </si>
  <si>
    <t xml:space="preserve">   Total 4500 Sales</t>
  </si>
  <si>
    <t xml:space="preserve">   4600 Royalties &amp; Publications</t>
  </si>
  <si>
    <t xml:space="preserve">   4700 Other Revenue</t>
  </si>
  <si>
    <t xml:space="preserve">      4720 Contributions</t>
  </si>
  <si>
    <t xml:space="preserve">   Total 4700 Other Revenue</t>
  </si>
  <si>
    <t xml:space="preserve">   4930 Capital Gains/Losses</t>
  </si>
  <si>
    <t xml:space="preserve">   4940 Unrealized Investment Gain/Loss</t>
  </si>
  <si>
    <t xml:space="preserve">   9999 Dues</t>
  </si>
  <si>
    <t xml:space="preserve">      Associate Memberships</t>
  </si>
  <si>
    <t xml:space="preserve">   Total 9999 Dues</t>
  </si>
  <si>
    <t xml:space="preserve">   Dividend Income</t>
  </si>
  <si>
    <t xml:space="preserve">   Interest Income</t>
  </si>
  <si>
    <t xml:space="preserve">   Testing Program</t>
  </si>
  <si>
    <t>Total Income</t>
  </si>
  <si>
    <t>Gross Profit</t>
  </si>
  <si>
    <t>Expenses</t>
  </si>
  <si>
    <t xml:space="preserve">   5110 Bank-CC Fees</t>
  </si>
  <si>
    <t xml:space="preserve">   5120 Copier Supplies &amp; Maintainance</t>
  </si>
  <si>
    <t xml:space="preserve">   5125 Depreciation</t>
  </si>
  <si>
    <t xml:space="preserve">   5130 Donation/Contribution</t>
  </si>
  <si>
    <t xml:space="preserve">   5131 Dues &amp; Subscriptions</t>
  </si>
  <si>
    <t xml:space="preserve">   5132 Equipment Maintenance</t>
  </si>
  <si>
    <t xml:space="preserve">   5133 Equipment Purchase ($1000 or less)</t>
  </si>
  <si>
    <t xml:space="preserve">   5134 Equipment Purchase ($1001 or Greater)</t>
  </si>
  <si>
    <t xml:space="preserve">   5135 Equipment Rental</t>
  </si>
  <si>
    <t xml:space="preserve">   5136 Equipment/Furniture Lease Interest</t>
  </si>
  <si>
    <t xml:space="preserve">   5137 Incentives/Gifts</t>
  </si>
  <si>
    <t xml:space="preserve">   5139 Insurance</t>
  </si>
  <si>
    <t xml:space="preserve">   5141 Internet/Web &amp; Infrastructure</t>
  </si>
  <si>
    <t xml:space="preserve">   5142 Miscellaneous</t>
  </si>
  <si>
    <t xml:space="preserve">   5143 Office/Building Maintenance</t>
  </si>
  <si>
    <t xml:space="preserve">   5144 Postage/Shipping</t>
  </si>
  <si>
    <t xml:space="preserve">   5145 Printing</t>
  </si>
  <si>
    <t xml:space="preserve">   5146 Recognition Awards</t>
  </si>
  <si>
    <t xml:space="preserve">   5147 Rent (Office)</t>
  </si>
  <si>
    <t xml:space="preserve">   5148 Software</t>
  </si>
  <si>
    <t xml:space="preserve">   5149 Utilities</t>
  </si>
  <si>
    <t xml:space="preserve">   5150 Supplies</t>
  </si>
  <si>
    <t xml:space="preserve">   5200 Board</t>
  </si>
  <si>
    <t xml:space="preserve">      5210 Development</t>
  </si>
  <si>
    <t xml:space="preserve">      5220 Meeting/Travel/Logistics</t>
  </si>
  <si>
    <t xml:space="preserve">   Total 5200 Board</t>
  </si>
  <si>
    <t xml:space="preserve">   5300 Business Development</t>
  </si>
  <si>
    <t xml:space="preserve">      5310 Client Entertainment</t>
  </si>
  <si>
    <t xml:space="preserve">      5320 Member/Partner Outreach</t>
  </si>
  <si>
    <t xml:space="preserve">      5330 Travel/Lodging/Meals</t>
  </si>
  <si>
    <t xml:space="preserve">      5340 Marketing and Promotional</t>
  </si>
  <si>
    <t xml:space="preserve">      5350 Org/Professional Memberships</t>
  </si>
  <si>
    <t xml:space="preserve">   Total 5300 Business Development</t>
  </si>
  <si>
    <t xml:space="preserve">   5400 Personnel</t>
  </si>
  <si>
    <t xml:space="preserve">      5410 Employee Recruitment</t>
  </si>
  <si>
    <t xml:space="preserve">      5420 Salaries</t>
  </si>
  <si>
    <t xml:space="preserve">   Total 5400 Personnel</t>
  </si>
  <si>
    <t xml:space="preserve">   5430 Employee Benefits</t>
  </si>
  <si>
    <t xml:space="preserve">      5431 401K/Roth</t>
  </si>
  <si>
    <t xml:space="preserve">      5432 Life Insurance Premium</t>
  </si>
  <si>
    <t xml:space="preserve">      5433 LTD Premium</t>
  </si>
  <si>
    <t xml:space="preserve">      5434 Medical Premium</t>
  </si>
  <si>
    <t xml:space="preserve">      5435 Phone Allowance/Reimbursement</t>
  </si>
  <si>
    <t xml:space="preserve">      5436 Professional Development</t>
  </si>
  <si>
    <t xml:space="preserve">      5437 Team Recognition/Development</t>
  </si>
  <si>
    <t xml:space="preserve">      5438 Temp Agency</t>
  </si>
  <si>
    <t xml:space="preserve">      5439 Wellness Incentive</t>
  </si>
  <si>
    <t xml:space="preserve">   Total 5430 Employee Benefits</t>
  </si>
  <si>
    <t xml:space="preserve">   5450 Staff Travel</t>
  </si>
  <si>
    <t xml:space="preserve">      5451 Lodging</t>
  </si>
  <si>
    <t xml:space="preserve">      5452 Meals</t>
  </si>
  <si>
    <t xml:space="preserve">      5453 Mileage</t>
  </si>
  <si>
    <t xml:space="preserve">      5454 Transportation (car, flight, cab)</t>
  </si>
  <si>
    <t xml:space="preserve">   Total 5450 Staff Travel</t>
  </si>
  <si>
    <t xml:space="preserve">   5500 Contracted Services</t>
  </si>
  <si>
    <t xml:space="preserve">      5510 Accounting/Audit</t>
  </si>
  <si>
    <t xml:space="preserve">      5520 Legal</t>
  </si>
  <si>
    <t xml:space="preserve">      5530 Marketing/Communications</t>
  </si>
  <si>
    <t xml:space="preserve">      5540 Payroll</t>
  </si>
  <si>
    <t xml:space="preserve">      5550 Strategic Planning/Consulting</t>
  </si>
  <si>
    <t xml:space="preserve">      5555 SME Consulting</t>
  </si>
  <si>
    <t xml:space="preserve">   Total 5500 Contracted Services</t>
  </si>
  <si>
    <t xml:space="preserve">   5600 Sponsorship</t>
  </si>
  <si>
    <t xml:space="preserve">   5700 Facilities/food/AV logistics</t>
  </si>
  <si>
    <t xml:space="preserve">   6010 Exam Administration/Development</t>
  </si>
  <si>
    <t xml:space="preserve">   6040 Trade Shows</t>
  </si>
  <si>
    <t xml:space="preserve">   6105 Advertising</t>
  </si>
  <si>
    <t xml:space="preserve">   6990 Write Offs</t>
  </si>
  <si>
    <t xml:space="preserve">   6999 Uncategorized Expenses</t>
  </si>
  <si>
    <t xml:space="preserve">   Bank Fee</t>
  </si>
  <si>
    <t xml:space="preserve">   Conference Expense</t>
  </si>
  <si>
    <t xml:space="preserve">   Equipment</t>
  </si>
  <si>
    <t xml:space="preserve">   IT Services</t>
  </si>
  <si>
    <t xml:space="preserve">      Consulting/Maintenance</t>
  </si>
  <si>
    <t xml:space="preserve">      Software</t>
  </si>
  <si>
    <t xml:space="preserve">   Total IT Services</t>
  </si>
  <si>
    <t xml:space="preserve">   Marketing/Comm/Web</t>
  </si>
  <si>
    <t xml:space="preserve">   Supplie</t>
  </si>
  <si>
    <t xml:space="preserve">   Uncategorized Expense</t>
  </si>
  <si>
    <t>Total Expenses</t>
  </si>
  <si>
    <t>Net Operating Income</t>
  </si>
  <si>
    <t>Other Income</t>
  </si>
  <si>
    <t xml:space="preserve">   4910 Interest Earned</t>
  </si>
  <si>
    <t xml:space="preserve">   4920 Dividends Received</t>
  </si>
  <si>
    <t>Total Other Income</t>
  </si>
  <si>
    <t>Other Expenses</t>
  </si>
  <si>
    <t xml:space="preserve">   77000 Exchange Gain or Loss</t>
  </si>
  <si>
    <t>Total Other Expenses</t>
  </si>
  <si>
    <t>Net Other Income</t>
  </si>
  <si>
    <t>Net Income</t>
  </si>
  <si>
    <t>Thursday, Aug 22, 2024 09:50:43 AM GMT-7 - Accrual Basis</t>
  </si>
  <si>
    <t>Water Professionals International</t>
  </si>
  <si>
    <t>Budget vs. Actuals: Budget_FY24_P&amp;L - FY24 P&amp;L  Classes</t>
  </si>
  <si>
    <t>October 2023 - September 2024</t>
  </si>
  <si>
    <t>24-25</t>
  </si>
  <si>
    <t>% of Budget 23-24</t>
  </si>
  <si>
    <t>Total Change for 24-25</t>
  </si>
  <si>
    <t xml:space="preserve">   Supplies</t>
  </si>
  <si>
    <t>October 2024 - September 2025</t>
  </si>
  <si>
    <t>Budget vs. Actuals: Budget_FY25_P&amp;L - FY25 P&amp;L  Classes</t>
  </si>
  <si>
    <t>FY24 Budget</t>
  </si>
  <si>
    <t>FY24 Actual</t>
  </si>
  <si>
    <t>24-25 Budget</t>
  </si>
  <si>
    <t>Test Development Reserves</t>
  </si>
  <si>
    <t>These columns are combined under the 2025 budget for Certification to further streamline the budget into three relevant buckets.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</si>
</sst>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_€"/>
    <numFmt numFmtId="165" formatCode="&quot;$&quot;* #,##0.00\ _€"/>
  </numFmts>
  <fonts count="11" x14ac:knownFonts="1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9"/>
      <color indexed="8"/>
      <name val="Arial"/>
    </font>
    <font>
      <b/>
      <sz val="8"/>
      <color indexed="8"/>
      <name val="Arial"/>
    </font>
    <font>
      <sz val="8"/>
      <color indexed="8"/>
      <name val="Arial"/>
    </font>
    <font>
      <b/>
      <sz val="14"/>
      <color indexed="8"/>
      <name val="Arial"/>
    </font>
    <font>
      <b/>
      <sz val="10"/>
      <color indexed="8"/>
      <name val="Arial"/>
    </font>
    <font>
      <sz val="8"/>
      <color indexed="8"/>
      <name val="Arial"/>
      <family val="2"/>
    </font>
    <font>
      <b/>
      <sz val="9"/>
      <color theme="1"/>
      <name val="Arial"/>
    </font>
    <font>
      <sz val="8"/>
      <color theme="1"/>
      <name val="Arial"/>
    </font>
    <font>
      <b/>
      <sz val="8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0" fillId="0" borderId="0" xfId="0" applyAlignment="1">
      <alignment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left" wrapText="1"/>
    </xf>
    <xf numFmtId="164" fontId="4" fillId="0" borderId="0" xfId="0" applyNumberFormat="1" applyFont="1" applyAlignment="1">
      <alignment wrapText="1"/>
    </xf>
    <xf numFmtId="164" fontId="4" fillId="0" borderId="0" xfId="0" applyNumberFormat="1" applyFont="1" applyAlignment="1">
      <alignment horizontal="right" wrapText="1"/>
    </xf>
    <xf numFmtId="10" fontId="4" fillId="0" borderId="0" xfId="0" applyNumberFormat="1" applyFont="1" applyAlignment="1">
      <alignment horizontal="right" wrapText="1"/>
    </xf>
    <xf numFmtId="165" fontId="3" fillId="0" borderId="2" xfId="0" applyNumberFormat="1" applyFont="1" applyBorder="1" applyAlignment="1">
      <alignment horizontal="right" wrapText="1"/>
    </xf>
    <xf numFmtId="10" fontId="3" fillId="0" borderId="2" xfId="0" applyNumberFormat="1" applyFont="1" applyBorder="1" applyAlignment="1">
      <alignment horizontal="right" wrapText="1"/>
    </xf>
    <xf numFmtId="165" fontId="3" fillId="0" borderId="3" xfId="0" applyNumberFormat="1" applyFont="1" applyBorder="1" applyAlignment="1">
      <alignment horizontal="right" wrapText="1"/>
    </xf>
    <xf numFmtId="10" fontId="3" fillId="0" borderId="3" xfId="0" applyNumberFormat="1" applyFont="1" applyBorder="1" applyAlignment="1">
      <alignment horizontal="right" wrapText="1"/>
    </xf>
    <xf numFmtId="0" fontId="0" fillId="2" borderId="4" xfId="0" applyFill="1" applyBorder="1"/>
    <xf numFmtId="0" fontId="0" fillId="0" borderId="6" xfId="0" applyBorder="1" applyAlignment="1">
      <alignment wrapText="1"/>
    </xf>
    <xf numFmtId="0" fontId="2" fillId="0" borderId="6" xfId="0" applyFont="1" applyBorder="1" applyAlignment="1">
      <alignment horizontal="center" wrapText="1"/>
    </xf>
    <xf numFmtId="0" fontId="3" fillId="0" borderId="6" xfId="0" applyFont="1" applyBorder="1" applyAlignment="1">
      <alignment horizontal="left" wrapText="1"/>
    </xf>
    <xf numFmtId="0" fontId="3" fillId="0" borderId="8" xfId="0" applyFont="1" applyBorder="1" applyAlignment="1">
      <alignment horizontal="left" wrapText="1"/>
    </xf>
    <xf numFmtId="165" fontId="3" fillId="0" borderId="8" xfId="0" applyNumberFormat="1" applyFont="1" applyBorder="1" applyAlignment="1">
      <alignment horizontal="right" wrapText="1"/>
    </xf>
    <xf numFmtId="10" fontId="3" fillId="0" borderId="8" xfId="0" applyNumberFormat="1" applyFont="1" applyBorder="1" applyAlignment="1">
      <alignment horizontal="right" wrapText="1"/>
    </xf>
    <xf numFmtId="0" fontId="3" fillId="0" borderId="9" xfId="0" applyFont="1" applyBorder="1" applyAlignment="1">
      <alignment horizontal="left" wrapText="1"/>
    </xf>
    <xf numFmtId="165" fontId="3" fillId="0" borderId="12" xfId="0" applyNumberFormat="1" applyFont="1" applyBorder="1" applyAlignment="1">
      <alignment horizontal="right" wrapText="1"/>
    </xf>
    <xf numFmtId="165" fontId="3" fillId="0" borderId="13" xfId="0" applyNumberFormat="1" applyFont="1" applyBorder="1" applyAlignment="1">
      <alignment horizontal="right" wrapText="1"/>
    </xf>
    <xf numFmtId="10" fontId="3" fillId="0" borderId="13" xfId="0" applyNumberFormat="1" applyFont="1" applyBorder="1" applyAlignment="1">
      <alignment horizontal="right" wrapText="1"/>
    </xf>
    <xf numFmtId="165" fontId="3" fillId="0" borderId="17" xfId="0" applyNumberFormat="1" applyFont="1" applyBorder="1" applyAlignment="1">
      <alignment horizontal="right" wrapText="1"/>
    </xf>
    <xf numFmtId="10" fontId="3" fillId="0" borderId="17" xfId="0" applyNumberFormat="1" applyFont="1" applyBorder="1" applyAlignment="1">
      <alignment horizontal="right" wrapText="1"/>
    </xf>
    <xf numFmtId="165" fontId="3" fillId="0" borderId="15" xfId="0" applyNumberFormat="1" applyFont="1" applyBorder="1" applyAlignment="1">
      <alignment horizontal="right" wrapText="1"/>
    </xf>
    <xf numFmtId="165" fontId="3" fillId="0" borderId="16" xfId="0" applyNumberFormat="1" applyFont="1" applyBorder="1" applyAlignment="1">
      <alignment horizontal="right" wrapText="1"/>
    </xf>
    <xf numFmtId="10" fontId="3" fillId="0" borderId="16" xfId="0" applyNumberFormat="1" applyFont="1" applyBorder="1" applyAlignment="1">
      <alignment horizontal="right" wrapText="1"/>
    </xf>
    <xf numFmtId="165" fontId="3" fillId="0" borderId="18" xfId="0" applyNumberFormat="1" applyFont="1" applyBorder="1" applyAlignment="1">
      <alignment horizontal="right" wrapText="1"/>
    </xf>
    <xf numFmtId="165" fontId="3" fillId="0" borderId="19" xfId="0" applyNumberFormat="1" applyFont="1" applyBorder="1" applyAlignment="1">
      <alignment horizontal="right" wrapText="1"/>
    </xf>
    <xf numFmtId="10" fontId="3" fillId="0" borderId="19" xfId="0" applyNumberFormat="1" applyFont="1" applyBorder="1" applyAlignment="1">
      <alignment horizontal="right" wrapText="1"/>
    </xf>
    <xf numFmtId="165" fontId="3" fillId="0" borderId="22" xfId="0" applyNumberFormat="1" applyFont="1" applyBorder="1" applyAlignment="1">
      <alignment horizontal="right" wrapText="1"/>
    </xf>
    <xf numFmtId="165" fontId="3" fillId="0" borderId="24" xfId="0" applyNumberFormat="1" applyFont="1" applyBorder="1" applyAlignment="1">
      <alignment horizontal="right" wrapText="1"/>
    </xf>
    <xf numFmtId="0" fontId="2" fillId="3" borderId="7" xfId="0" applyFont="1" applyFill="1" applyBorder="1" applyAlignment="1">
      <alignment horizontal="center" wrapText="1"/>
    </xf>
    <xf numFmtId="164" fontId="4" fillId="3" borderId="5" xfId="0" applyNumberFormat="1" applyFont="1" applyFill="1" applyBorder="1" applyAlignment="1">
      <alignment wrapText="1"/>
    </xf>
    <xf numFmtId="164" fontId="4" fillId="3" borderId="4" xfId="0" applyNumberFormat="1" applyFont="1" applyFill="1" applyBorder="1" applyAlignment="1">
      <alignment wrapText="1"/>
    </xf>
    <xf numFmtId="164" fontId="4" fillId="3" borderId="11" xfId="0" applyNumberFormat="1" applyFont="1" applyFill="1" applyBorder="1" applyAlignment="1">
      <alignment wrapText="1"/>
    </xf>
    <xf numFmtId="165" fontId="3" fillId="3" borderId="8" xfId="0" applyNumberFormat="1" applyFont="1" applyFill="1" applyBorder="1" applyAlignment="1">
      <alignment horizontal="right" wrapText="1"/>
    </xf>
    <xf numFmtId="164" fontId="4" fillId="3" borderId="4" xfId="0" applyNumberFormat="1" applyFont="1" applyFill="1" applyBorder="1" applyAlignment="1">
      <alignment horizontal="right" wrapText="1"/>
    </xf>
    <xf numFmtId="165" fontId="3" fillId="3" borderId="13" xfId="0" applyNumberFormat="1" applyFont="1" applyFill="1" applyBorder="1" applyAlignment="1">
      <alignment horizontal="right" wrapText="1"/>
    </xf>
    <xf numFmtId="164" fontId="4" fillId="3" borderId="11" xfId="0" applyNumberFormat="1" applyFont="1" applyFill="1" applyBorder="1" applyAlignment="1">
      <alignment horizontal="right" wrapText="1"/>
    </xf>
    <xf numFmtId="165" fontId="3" fillId="3" borderId="19" xfId="0" applyNumberFormat="1" applyFont="1" applyFill="1" applyBorder="1" applyAlignment="1">
      <alignment horizontal="right" wrapText="1"/>
    </xf>
    <xf numFmtId="164" fontId="4" fillId="3" borderId="5" xfId="0" applyNumberFormat="1" applyFont="1" applyFill="1" applyBorder="1" applyAlignment="1">
      <alignment horizontal="right" wrapText="1"/>
    </xf>
    <xf numFmtId="165" fontId="3" fillId="3" borderId="16" xfId="0" applyNumberFormat="1" applyFont="1" applyFill="1" applyBorder="1" applyAlignment="1">
      <alignment horizontal="right" wrapText="1"/>
    </xf>
    <xf numFmtId="165" fontId="3" fillId="3" borderId="17" xfId="0" applyNumberFormat="1" applyFont="1" applyFill="1" applyBorder="1" applyAlignment="1">
      <alignment horizontal="right" wrapText="1"/>
    </xf>
    <xf numFmtId="0" fontId="0" fillId="3" borderId="4" xfId="0" applyFill="1" applyBorder="1"/>
    <xf numFmtId="4" fontId="7" fillId="3" borderId="4" xfId="0" applyNumberFormat="1" applyFont="1" applyFill="1" applyBorder="1"/>
    <xf numFmtId="4" fontId="0" fillId="3" borderId="5" xfId="0" applyNumberFormat="1" applyFill="1" applyBorder="1"/>
    <xf numFmtId="4" fontId="0" fillId="3" borderId="4" xfId="0" applyNumberFormat="1" applyFill="1" applyBorder="1"/>
    <xf numFmtId="4" fontId="0" fillId="3" borderId="11" xfId="0" applyNumberFormat="1" applyFill="1" applyBorder="1"/>
    <xf numFmtId="4" fontId="0" fillId="3" borderId="10" xfId="0" applyNumberFormat="1" applyFill="1" applyBorder="1"/>
    <xf numFmtId="4" fontId="0" fillId="3" borderId="14" xfId="0" applyNumberFormat="1" applyFill="1" applyBorder="1"/>
    <xf numFmtId="4" fontId="0" fillId="3" borderId="20" xfId="0" applyNumberFormat="1" applyFill="1" applyBorder="1"/>
    <xf numFmtId="4" fontId="0" fillId="3" borderId="21" xfId="0" applyNumberFormat="1" applyFill="1" applyBorder="1"/>
    <xf numFmtId="4" fontId="0" fillId="3" borderId="23" xfId="0" applyNumberFormat="1" applyFill="1" applyBorder="1"/>
    <xf numFmtId="4" fontId="0" fillId="3" borderId="25" xfId="0" applyNumberFormat="1" applyFill="1" applyBorder="1"/>
    <xf numFmtId="0" fontId="1" fillId="4" borderId="0" xfId="0" applyFont="1" applyFill="1"/>
    <xf numFmtId="0" fontId="1" fillId="4" borderId="4" xfId="0" applyFont="1" applyFill="1" applyBorder="1"/>
    <xf numFmtId="0" fontId="8" fillId="4" borderId="6" xfId="0" applyFont="1" applyFill="1" applyBorder="1" applyAlignment="1">
      <alignment horizontal="center" wrapText="1"/>
    </xf>
    <xf numFmtId="0" fontId="8" fillId="4" borderId="7" xfId="0" applyFont="1" applyFill="1" applyBorder="1" applyAlignment="1">
      <alignment horizontal="center" wrapText="1"/>
    </xf>
    <xf numFmtId="164" fontId="9" fillId="4" borderId="0" xfId="0" applyNumberFormat="1" applyFont="1" applyFill="1" applyAlignment="1">
      <alignment wrapText="1"/>
    </xf>
    <xf numFmtId="164" fontId="9" fillId="4" borderId="5" xfId="0" applyNumberFormat="1" applyFont="1" applyFill="1" applyBorder="1" applyAlignment="1">
      <alignment wrapText="1"/>
    </xf>
    <xf numFmtId="164" fontId="9" fillId="4" borderId="4" xfId="0" applyNumberFormat="1" applyFont="1" applyFill="1" applyBorder="1" applyAlignment="1">
      <alignment wrapText="1"/>
    </xf>
    <xf numFmtId="164" fontId="9" fillId="4" borderId="0" xfId="0" applyNumberFormat="1" applyFont="1" applyFill="1" applyAlignment="1">
      <alignment horizontal="right" wrapText="1"/>
    </xf>
    <xf numFmtId="10" fontId="9" fillId="4" borderId="0" xfId="0" applyNumberFormat="1" applyFont="1" applyFill="1" applyAlignment="1">
      <alignment horizontal="right" wrapText="1"/>
    </xf>
    <xf numFmtId="164" fontId="9" fillId="4" borderId="11" xfId="0" applyNumberFormat="1" applyFont="1" applyFill="1" applyBorder="1" applyAlignment="1">
      <alignment wrapText="1"/>
    </xf>
    <xf numFmtId="165" fontId="10" fillId="4" borderId="8" xfId="0" applyNumberFormat="1" applyFont="1" applyFill="1" applyBorder="1" applyAlignment="1">
      <alignment horizontal="right" wrapText="1"/>
    </xf>
    <xf numFmtId="10" fontId="10" fillId="4" borderId="8" xfId="0" applyNumberFormat="1" applyFont="1" applyFill="1" applyBorder="1" applyAlignment="1">
      <alignment horizontal="right" wrapText="1"/>
    </xf>
    <xf numFmtId="165" fontId="10" fillId="4" borderId="13" xfId="0" applyNumberFormat="1" applyFont="1" applyFill="1" applyBorder="1" applyAlignment="1">
      <alignment horizontal="right" wrapText="1"/>
    </xf>
    <xf numFmtId="10" fontId="10" fillId="4" borderId="13" xfId="0" applyNumberFormat="1" applyFont="1" applyFill="1" applyBorder="1" applyAlignment="1">
      <alignment horizontal="right" wrapText="1"/>
    </xf>
    <xf numFmtId="164" fontId="9" fillId="4" borderId="4" xfId="0" applyNumberFormat="1" applyFont="1" applyFill="1" applyBorder="1" applyAlignment="1">
      <alignment horizontal="right" wrapText="1"/>
    </xf>
    <xf numFmtId="164" fontId="9" fillId="4" borderId="11" xfId="0" applyNumberFormat="1" applyFont="1" applyFill="1" applyBorder="1" applyAlignment="1">
      <alignment horizontal="right" wrapText="1"/>
    </xf>
    <xf numFmtId="164" fontId="9" fillId="4" borderId="5" xfId="0" applyNumberFormat="1" applyFont="1" applyFill="1" applyBorder="1" applyAlignment="1">
      <alignment horizontal="right" wrapText="1"/>
    </xf>
    <xf numFmtId="165" fontId="10" fillId="4" borderId="19" xfId="0" applyNumberFormat="1" applyFont="1" applyFill="1" applyBorder="1" applyAlignment="1">
      <alignment horizontal="right" wrapText="1"/>
    </xf>
    <xf numFmtId="10" fontId="10" fillId="4" borderId="19" xfId="0" applyNumberFormat="1" applyFont="1" applyFill="1" applyBorder="1" applyAlignment="1">
      <alignment horizontal="right" wrapText="1"/>
    </xf>
    <xf numFmtId="165" fontId="10" fillId="4" borderId="16" xfId="0" applyNumberFormat="1" applyFont="1" applyFill="1" applyBorder="1" applyAlignment="1">
      <alignment horizontal="right" wrapText="1"/>
    </xf>
    <xf numFmtId="10" fontId="10" fillId="4" borderId="16" xfId="0" applyNumberFormat="1" applyFont="1" applyFill="1" applyBorder="1" applyAlignment="1">
      <alignment horizontal="right" wrapText="1"/>
    </xf>
    <xf numFmtId="165" fontId="10" fillId="4" borderId="17" xfId="0" applyNumberFormat="1" applyFont="1" applyFill="1" applyBorder="1" applyAlignment="1">
      <alignment horizontal="right" wrapText="1"/>
    </xf>
    <xf numFmtId="10" fontId="10" fillId="4" borderId="17" xfId="0" applyNumberFormat="1" applyFont="1" applyFill="1" applyBorder="1" applyAlignment="1">
      <alignment horizontal="right" wrapText="1"/>
    </xf>
    <xf numFmtId="0" fontId="2" fillId="0" borderId="1" xfId="0" applyFont="1" applyBorder="1" applyAlignment="1">
      <alignment horizontal="center" wrapText="1"/>
    </xf>
    <xf numFmtId="0" fontId="0" fillId="0" borderId="0" xfId="0" applyAlignment="1">
      <alignment wrapText="1"/>
    </xf>
    <xf numFmtId="0" fontId="4" fillId="0" borderId="0" xfId="0" applyFont="1" applyAlignment="1">
      <alignment horizontal="center"/>
    </xf>
    <xf numFmtId="0" fontId="0" fillId="0" borderId="0" xfId="0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4" borderId="1" xfId="0" applyFont="1" applyFill="1" applyBorder="1" applyAlignment="1">
      <alignment horizontal="center" wrapText="1"/>
    </xf>
    <xf numFmtId="0" fontId="1" fillId="4" borderId="0" xfId="0" applyFont="1" applyFill="1" applyAlignment="1">
      <alignment wrapText="1"/>
    </xf>
    <xf numFmtId="0" fontId="0" fillId="0" borderId="26" xfId="0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Paul Bishop" id="{3207E0E3-7DC7-4588-8B54-E49259BA94AF}" userId="S::PBishop@gowpi.org::a7b9e4b7-b272-4a01-ad30-3556e3dbfed3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D19" dT="2024-09-05T21:19:14.58" personId="{3207E0E3-7DC7-4588-8B54-E49259BA94AF}" id="{1EA09A8A-B575-4EE7-B276-525E596A26A3}">
    <text>These numbers are reflective of the testing budget being combined with Certification</text>
  </threadedComment>
</ThreadedComments>
</file>

<file path=xl/worksheets/_rels/sheet2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45"/>
  <sheetViews>
    <sheetView topLeftCell="D1" workbookViewId="0">
      <selection activeCell="D1" sqref="A1:XFD1048576"/>
    </sheetView>
  </sheetViews>
  <sheetFormatPr defaultRowHeight="15" x14ac:dyDescent="0.25"/>
  <cols>
    <col min="1" max="1" width="39.5703125" customWidth="1"/>
    <col min="2" max="2" width="11.140625" customWidth="1"/>
    <col min="3" max="4" width="12" customWidth="1"/>
    <col min="5" max="5" width="7.7109375" customWidth="1"/>
    <col min="6" max="7" width="12" customWidth="1"/>
    <col min="8" max="8" width="11.140625" customWidth="1"/>
    <col min="9" max="9" width="7.7109375" customWidth="1"/>
    <col min="10" max="11" width="13.7109375" customWidth="1"/>
    <col min="12" max="12" width="12" customWidth="1"/>
    <col min="13" max="13" width="7.7109375" customWidth="1"/>
    <col min="14" max="16" width="12" customWidth="1"/>
    <col min="17" max="17" width="8.5703125" customWidth="1"/>
    <col min="18" max="18" width="10.28515625" customWidth="1"/>
    <col min="19" max="19" width="7.7109375" customWidth="1"/>
    <col min="20" max="20" width="10.28515625" customWidth="1"/>
    <col min="21" max="21" width="7.7109375" customWidth="1"/>
    <col min="22" max="24" width="12" customWidth="1"/>
    <col min="25" max="25" width="9.42578125" customWidth="1"/>
  </cols>
  <sheetData>
    <row r="1" spans="1:25" ht="18" x14ac:dyDescent="0.25">
      <c r="A1" s="82" t="s">
        <v>146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</row>
    <row r="2" spans="1:25" ht="18" x14ac:dyDescent="0.25">
      <c r="A2" s="82" t="s">
        <v>147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</row>
    <row r="3" spans="1:25" x14ac:dyDescent="0.25">
      <c r="A3" s="83" t="s">
        <v>148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</row>
    <row r="5" spans="1:25" x14ac:dyDescent="0.25">
      <c r="A5" s="1"/>
      <c r="B5" s="78" t="s">
        <v>0</v>
      </c>
      <c r="C5" s="79"/>
      <c r="D5" s="79"/>
      <c r="E5" s="79"/>
      <c r="F5" s="78" t="s">
        <v>1</v>
      </c>
      <c r="G5" s="79"/>
      <c r="H5" s="79"/>
      <c r="I5" s="79"/>
      <c r="J5" s="78" t="s">
        <v>2</v>
      </c>
      <c r="K5" s="79"/>
      <c r="L5" s="79"/>
      <c r="M5" s="79"/>
      <c r="N5" s="78" t="s">
        <v>3</v>
      </c>
      <c r="O5" s="79"/>
      <c r="P5" s="79"/>
      <c r="Q5" s="79"/>
      <c r="R5" s="78" t="s">
        <v>4</v>
      </c>
      <c r="S5" s="79"/>
      <c r="T5" s="79"/>
      <c r="U5" s="79"/>
      <c r="V5" s="78" t="s">
        <v>5</v>
      </c>
      <c r="W5" s="79"/>
      <c r="X5" s="79"/>
      <c r="Y5" s="79"/>
    </row>
    <row r="6" spans="1:25" ht="24.75" x14ac:dyDescent="0.25">
      <c r="A6" s="1"/>
      <c r="B6" s="2" t="s">
        <v>6</v>
      </c>
      <c r="C6" s="2" t="s">
        <v>7</v>
      </c>
      <c r="D6" s="2" t="s">
        <v>8</v>
      </c>
      <c r="E6" s="2" t="s">
        <v>9</v>
      </c>
      <c r="F6" s="2" t="s">
        <v>6</v>
      </c>
      <c r="G6" s="2" t="s">
        <v>7</v>
      </c>
      <c r="H6" s="2" t="s">
        <v>8</v>
      </c>
      <c r="I6" s="2" t="s">
        <v>9</v>
      </c>
      <c r="J6" s="2" t="s">
        <v>6</v>
      </c>
      <c r="K6" s="2" t="s">
        <v>7</v>
      </c>
      <c r="L6" s="2" t="s">
        <v>8</v>
      </c>
      <c r="M6" s="2" t="s">
        <v>9</v>
      </c>
      <c r="N6" s="2" t="s">
        <v>6</v>
      </c>
      <c r="O6" s="2" t="s">
        <v>7</v>
      </c>
      <c r="P6" s="2" t="s">
        <v>8</v>
      </c>
      <c r="Q6" s="2" t="s">
        <v>9</v>
      </c>
      <c r="R6" s="2" t="s">
        <v>6</v>
      </c>
      <c r="S6" s="2" t="s">
        <v>7</v>
      </c>
      <c r="T6" s="2" t="s">
        <v>8</v>
      </c>
      <c r="U6" s="2" t="s">
        <v>9</v>
      </c>
      <c r="V6" s="2" t="s">
        <v>6</v>
      </c>
      <c r="W6" s="2" t="s">
        <v>7</v>
      </c>
      <c r="X6" s="2" t="s">
        <v>8</v>
      </c>
      <c r="Y6" s="2" t="s">
        <v>9</v>
      </c>
    </row>
    <row r="7" spans="1:25" x14ac:dyDescent="0.25">
      <c r="A7" s="3" t="s">
        <v>10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</row>
    <row r="8" spans="1:25" x14ac:dyDescent="0.25">
      <c r="A8" s="3" t="s">
        <v>11</v>
      </c>
      <c r="B8" s="4"/>
      <c r="C8" s="4"/>
      <c r="D8" s="5">
        <f t="shared" ref="D8:D50" si="0">(B8)-(C8)</f>
        <v>0</v>
      </c>
      <c r="E8" s="6" t="str">
        <f t="shared" ref="E8:E50" si="1">IF(C8=0,"",(B8)/(C8))</f>
        <v/>
      </c>
      <c r="F8" s="4"/>
      <c r="G8" s="4"/>
      <c r="H8" s="5">
        <f t="shared" ref="H8:H50" si="2">(F8)-(G8)</f>
        <v>0</v>
      </c>
      <c r="I8" s="6" t="str">
        <f t="shared" ref="I8:I50" si="3">IF(G8=0,"",(F8)/(G8))</f>
        <v/>
      </c>
      <c r="J8" s="4"/>
      <c r="K8" s="5">
        <f>0</f>
        <v>0</v>
      </c>
      <c r="L8" s="5">
        <f t="shared" ref="L8:L50" si="4">(J8)-(K8)</f>
        <v>0</v>
      </c>
      <c r="M8" s="6" t="str">
        <f t="shared" ref="M8:M50" si="5">IF(K8=0,"",(J8)/(K8))</f>
        <v/>
      </c>
      <c r="N8" s="4"/>
      <c r="O8" s="4"/>
      <c r="P8" s="5">
        <f t="shared" ref="P8:P50" si="6">(N8)-(O8)</f>
        <v>0</v>
      </c>
      <c r="Q8" s="6" t="str">
        <f t="shared" ref="Q8:Q50" si="7">IF(O8=0,"",(N8)/(O8))</f>
        <v/>
      </c>
      <c r="R8" s="4"/>
      <c r="S8" s="4"/>
      <c r="T8" s="5">
        <f t="shared" ref="T8:T50" si="8">(R8)-(S8)</f>
        <v>0</v>
      </c>
      <c r="U8" s="6" t="str">
        <f t="shared" ref="U8:U50" si="9">IF(S8=0,"",(R8)/(S8))</f>
        <v/>
      </c>
      <c r="V8" s="5">
        <f t="shared" ref="V8:V50" si="10">((((B8)+(F8))+(J8))+(N8))+(R8)</f>
        <v>0</v>
      </c>
      <c r="W8" s="5">
        <f t="shared" ref="W8:W50" si="11">((((C8)+(G8))+(K8))+(O8))+(S8)</f>
        <v>0</v>
      </c>
      <c r="X8" s="5">
        <f t="shared" ref="X8:X50" si="12">(V8)-(W8)</f>
        <v>0</v>
      </c>
      <c r="Y8" s="6" t="str">
        <f t="shared" ref="Y8:Y50" si="13">IF(W8=0,"",(V8)/(W8))</f>
        <v/>
      </c>
    </row>
    <row r="9" spans="1:25" x14ac:dyDescent="0.25">
      <c r="A9" s="3" t="s">
        <v>12</v>
      </c>
      <c r="B9" s="4"/>
      <c r="C9" s="4"/>
      <c r="D9" s="5">
        <f t="shared" si="0"/>
        <v>0</v>
      </c>
      <c r="E9" s="6" t="str">
        <f t="shared" si="1"/>
        <v/>
      </c>
      <c r="F9" s="4"/>
      <c r="G9" s="4"/>
      <c r="H9" s="5">
        <f t="shared" si="2"/>
        <v>0</v>
      </c>
      <c r="I9" s="6" t="str">
        <f t="shared" si="3"/>
        <v/>
      </c>
      <c r="J9" s="5">
        <f>6485</f>
        <v>6485</v>
      </c>
      <c r="K9" s="5">
        <f>4500</f>
        <v>4500</v>
      </c>
      <c r="L9" s="5">
        <f t="shared" si="4"/>
        <v>1985</v>
      </c>
      <c r="M9" s="6">
        <f t="shared" si="5"/>
        <v>1.441111111111111</v>
      </c>
      <c r="N9" s="4"/>
      <c r="O9" s="4"/>
      <c r="P9" s="5">
        <f t="shared" si="6"/>
        <v>0</v>
      </c>
      <c r="Q9" s="6" t="str">
        <f t="shared" si="7"/>
        <v/>
      </c>
      <c r="R9" s="4"/>
      <c r="S9" s="4"/>
      <c r="T9" s="5">
        <f t="shared" si="8"/>
        <v>0</v>
      </c>
      <c r="U9" s="6" t="str">
        <f t="shared" si="9"/>
        <v/>
      </c>
      <c r="V9" s="5">
        <f t="shared" si="10"/>
        <v>6485</v>
      </c>
      <c r="W9" s="5">
        <f t="shared" si="11"/>
        <v>4500</v>
      </c>
      <c r="X9" s="5">
        <f t="shared" si="12"/>
        <v>1985</v>
      </c>
      <c r="Y9" s="6">
        <f t="shared" si="13"/>
        <v>1.441111111111111</v>
      </c>
    </row>
    <row r="10" spans="1:25" x14ac:dyDescent="0.25">
      <c r="A10" s="3" t="s">
        <v>13</v>
      </c>
      <c r="B10" s="4"/>
      <c r="C10" s="4"/>
      <c r="D10" s="5">
        <f t="shared" si="0"/>
        <v>0</v>
      </c>
      <c r="E10" s="6" t="str">
        <f t="shared" si="1"/>
        <v/>
      </c>
      <c r="F10" s="4"/>
      <c r="G10" s="4"/>
      <c r="H10" s="5">
        <f t="shared" si="2"/>
        <v>0</v>
      </c>
      <c r="I10" s="6" t="str">
        <f t="shared" si="3"/>
        <v/>
      </c>
      <c r="J10" s="5">
        <f>111903.51</f>
        <v>111903.51</v>
      </c>
      <c r="K10" s="5">
        <f>105000</f>
        <v>105000</v>
      </c>
      <c r="L10" s="5">
        <f t="shared" si="4"/>
        <v>6903.5099999999948</v>
      </c>
      <c r="M10" s="6">
        <f t="shared" si="5"/>
        <v>1.0657477142857141</v>
      </c>
      <c r="N10" s="5">
        <f>300</f>
        <v>300</v>
      </c>
      <c r="O10" s="4"/>
      <c r="P10" s="5">
        <f t="shared" si="6"/>
        <v>300</v>
      </c>
      <c r="Q10" s="6" t="str">
        <f t="shared" si="7"/>
        <v/>
      </c>
      <c r="R10" s="4"/>
      <c r="S10" s="4"/>
      <c r="T10" s="5">
        <f t="shared" si="8"/>
        <v>0</v>
      </c>
      <c r="U10" s="6" t="str">
        <f t="shared" si="9"/>
        <v/>
      </c>
      <c r="V10" s="5">
        <f t="shared" si="10"/>
        <v>112203.51</v>
      </c>
      <c r="W10" s="5">
        <f t="shared" si="11"/>
        <v>105000</v>
      </c>
      <c r="X10" s="5">
        <f t="shared" si="12"/>
        <v>7203.5099999999948</v>
      </c>
      <c r="Y10" s="6">
        <f t="shared" si="13"/>
        <v>1.068604857142857</v>
      </c>
    </row>
    <row r="11" spans="1:25" x14ac:dyDescent="0.25">
      <c r="A11" s="3" t="s">
        <v>14</v>
      </c>
      <c r="B11" s="4"/>
      <c r="C11" s="4"/>
      <c r="D11" s="5">
        <f t="shared" si="0"/>
        <v>0</v>
      </c>
      <c r="E11" s="6" t="str">
        <f t="shared" si="1"/>
        <v/>
      </c>
      <c r="F11" s="4"/>
      <c r="G11" s="4"/>
      <c r="H11" s="5">
        <f t="shared" si="2"/>
        <v>0</v>
      </c>
      <c r="I11" s="6" t="str">
        <f t="shared" si="3"/>
        <v/>
      </c>
      <c r="J11" s="5">
        <f>7700</f>
        <v>7700</v>
      </c>
      <c r="K11" s="5">
        <f>7700</f>
        <v>7700</v>
      </c>
      <c r="L11" s="5">
        <f t="shared" si="4"/>
        <v>0</v>
      </c>
      <c r="M11" s="6">
        <f t="shared" si="5"/>
        <v>1</v>
      </c>
      <c r="N11" s="4"/>
      <c r="O11" s="4"/>
      <c r="P11" s="5">
        <f t="shared" si="6"/>
        <v>0</v>
      </c>
      <c r="Q11" s="6" t="str">
        <f t="shared" si="7"/>
        <v/>
      </c>
      <c r="R11" s="4"/>
      <c r="S11" s="4"/>
      <c r="T11" s="5">
        <f t="shared" si="8"/>
        <v>0</v>
      </c>
      <c r="U11" s="6" t="str">
        <f t="shared" si="9"/>
        <v/>
      </c>
      <c r="V11" s="5">
        <f t="shared" si="10"/>
        <v>7700</v>
      </c>
      <c r="W11" s="5">
        <f t="shared" si="11"/>
        <v>7700</v>
      </c>
      <c r="X11" s="5">
        <f t="shared" si="12"/>
        <v>0</v>
      </c>
      <c r="Y11" s="6">
        <f t="shared" si="13"/>
        <v>1</v>
      </c>
    </row>
    <row r="12" spans="1:25" x14ac:dyDescent="0.25">
      <c r="A12" s="3" t="s">
        <v>15</v>
      </c>
      <c r="B12" s="7">
        <f>(((B8)+(B9))+(B10))+(B11)</f>
        <v>0</v>
      </c>
      <c r="C12" s="7">
        <f>(((C8)+(C9))+(C10))+(C11)</f>
        <v>0</v>
      </c>
      <c r="D12" s="7">
        <f t="shared" si="0"/>
        <v>0</v>
      </c>
      <c r="E12" s="8" t="str">
        <f t="shared" si="1"/>
        <v/>
      </c>
      <c r="F12" s="7">
        <f>(((F8)+(F9))+(F10))+(F11)</f>
        <v>0</v>
      </c>
      <c r="G12" s="7">
        <f>(((G8)+(G9))+(G10))+(G11)</f>
        <v>0</v>
      </c>
      <c r="H12" s="7">
        <f t="shared" si="2"/>
        <v>0</v>
      </c>
      <c r="I12" s="8" t="str">
        <f t="shared" si="3"/>
        <v/>
      </c>
      <c r="J12" s="7">
        <f>(((J8)+(J9))+(J10))+(J11)</f>
        <v>126088.51</v>
      </c>
      <c r="K12" s="7">
        <f>(((K8)+(K9))+(K10))+(K11)</f>
        <v>117200</v>
      </c>
      <c r="L12" s="7">
        <f t="shared" si="4"/>
        <v>8888.5099999999948</v>
      </c>
      <c r="M12" s="8">
        <f t="shared" si="5"/>
        <v>1.0758405290102389</v>
      </c>
      <c r="N12" s="7">
        <f>(((N8)+(N9))+(N10))+(N11)</f>
        <v>300</v>
      </c>
      <c r="O12" s="7">
        <f>(((O8)+(O9))+(O10))+(O11)</f>
        <v>0</v>
      </c>
      <c r="P12" s="7">
        <f t="shared" si="6"/>
        <v>300</v>
      </c>
      <c r="Q12" s="8" t="str">
        <f t="shared" si="7"/>
        <v/>
      </c>
      <c r="R12" s="7">
        <f>(((R8)+(R9))+(R10))+(R11)</f>
        <v>0</v>
      </c>
      <c r="S12" s="7">
        <f>(((S8)+(S9))+(S10))+(S11)</f>
        <v>0</v>
      </c>
      <c r="T12" s="7">
        <f t="shared" si="8"/>
        <v>0</v>
      </c>
      <c r="U12" s="8" t="str">
        <f t="shared" si="9"/>
        <v/>
      </c>
      <c r="V12" s="7">
        <f t="shared" si="10"/>
        <v>126388.51</v>
      </c>
      <c r="W12" s="7">
        <f t="shared" si="11"/>
        <v>117200</v>
      </c>
      <c r="X12" s="7">
        <f t="shared" si="12"/>
        <v>9188.5099999999948</v>
      </c>
      <c r="Y12" s="8">
        <f t="shared" si="13"/>
        <v>1.0784002559726962</v>
      </c>
    </row>
    <row r="13" spans="1:25" x14ac:dyDescent="0.25">
      <c r="A13" s="3" t="s">
        <v>16</v>
      </c>
      <c r="B13" s="5">
        <f>0</f>
        <v>0</v>
      </c>
      <c r="C13" s="4"/>
      <c r="D13" s="5">
        <f t="shared" si="0"/>
        <v>0</v>
      </c>
      <c r="E13" s="6" t="str">
        <f t="shared" si="1"/>
        <v/>
      </c>
      <c r="F13" s="4"/>
      <c r="G13" s="4"/>
      <c r="H13" s="5">
        <f t="shared" si="2"/>
        <v>0</v>
      </c>
      <c r="I13" s="6" t="str">
        <f t="shared" si="3"/>
        <v/>
      </c>
      <c r="J13" s="4"/>
      <c r="K13" s="4"/>
      <c r="L13" s="5">
        <f t="shared" si="4"/>
        <v>0</v>
      </c>
      <c r="M13" s="6" t="str">
        <f t="shared" si="5"/>
        <v/>
      </c>
      <c r="N13" s="4"/>
      <c r="O13" s="4"/>
      <c r="P13" s="5">
        <f t="shared" si="6"/>
        <v>0</v>
      </c>
      <c r="Q13" s="6" t="str">
        <f t="shared" si="7"/>
        <v/>
      </c>
      <c r="R13" s="4"/>
      <c r="S13" s="4"/>
      <c r="T13" s="5">
        <f t="shared" si="8"/>
        <v>0</v>
      </c>
      <c r="U13" s="6" t="str">
        <f t="shared" si="9"/>
        <v/>
      </c>
      <c r="V13" s="5">
        <f t="shared" si="10"/>
        <v>0</v>
      </c>
      <c r="W13" s="5">
        <f t="shared" si="11"/>
        <v>0</v>
      </c>
      <c r="X13" s="5">
        <f t="shared" si="12"/>
        <v>0</v>
      </c>
      <c r="Y13" s="6" t="str">
        <f t="shared" si="13"/>
        <v/>
      </c>
    </row>
    <row r="14" spans="1:25" x14ac:dyDescent="0.25">
      <c r="A14" s="3" t="s">
        <v>17</v>
      </c>
      <c r="B14" s="5">
        <f>48444</f>
        <v>48444</v>
      </c>
      <c r="C14" s="5">
        <f>32000</f>
        <v>32000</v>
      </c>
      <c r="D14" s="5">
        <f t="shared" si="0"/>
        <v>16444</v>
      </c>
      <c r="E14" s="6">
        <f t="shared" si="1"/>
        <v>1.5138750000000001</v>
      </c>
      <c r="F14" s="4"/>
      <c r="G14" s="4"/>
      <c r="H14" s="5">
        <f t="shared" si="2"/>
        <v>0</v>
      </c>
      <c r="I14" s="6" t="str">
        <f t="shared" si="3"/>
        <v/>
      </c>
      <c r="J14" s="4"/>
      <c r="K14" s="5">
        <f>0</f>
        <v>0</v>
      </c>
      <c r="L14" s="5">
        <f t="shared" si="4"/>
        <v>0</v>
      </c>
      <c r="M14" s="6" t="str">
        <f t="shared" si="5"/>
        <v/>
      </c>
      <c r="N14" s="4"/>
      <c r="O14" s="4"/>
      <c r="P14" s="5">
        <f t="shared" si="6"/>
        <v>0</v>
      </c>
      <c r="Q14" s="6" t="str">
        <f t="shared" si="7"/>
        <v/>
      </c>
      <c r="R14" s="4"/>
      <c r="S14" s="4"/>
      <c r="T14" s="5">
        <f t="shared" si="8"/>
        <v>0</v>
      </c>
      <c r="U14" s="6" t="str">
        <f t="shared" si="9"/>
        <v/>
      </c>
      <c r="V14" s="5">
        <f t="shared" si="10"/>
        <v>48444</v>
      </c>
      <c r="W14" s="5">
        <f t="shared" si="11"/>
        <v>32000</v>
      </c>
      <c r="X14" s="5">
        <f t="shared" si="12"/>
        <v>16444</v>
      </c>
      <c r="Y14" s="6">
        <f t="shared" si="13"/>
        <v>1.5138750000000001</v>
      </c>
    </row>
    <row r="15" spans="1:25" x14ac:dyDescent="0.25">
      <c r="A15" s="3" t="s">
        <v>18</v>
      </c>
      <c r="B15" s="4"/>
      <c r="C15" s="5">
        <f>7500</f>
        <v>7500</v>
      </c>
      <c r="D15" s="5">
        <f t="shared" si="0"/>
        <v>-7500</v>
      </c>
      <c r="E15" s="6">
        <f t="shared" si="1"/>
        <v>0</v>
      </c>
      <c r="F15" s="4"/>
      <c r="G15" s="4"/>
      <c r="H15" s="5">
        <f t="shared" si="2"/>
        <v>0</v>
      </c>
      <c r="I15" s="6" t="str">
        <f t="shared" si="3"/>
        <v/>
      </c>
      <c r="J15" s="4"/>
      <c r="K15" s="5">
        <f>0</f>
        <v>0</v>
      </c>
      <c r="L15" s="5">
        <f t="shared" si="4"/>
        <v>0</v>
      </c>
      <c r="M15" s="6" t="str">
        <f t="shared" si="5"/>
        <v/>
      </c>
      <c r="N15" s="4"/>
      <c r="O15" s="4"/>
      <c r="P15" s="5">
        <f t="shared" si="6"/>
        <v>0</v>
      </c>
      <c r="Q15" s="6" t="str">
        <f t="shared" si="7"/>
        <v/>
      </c>
      <c r="R15" s="4"/>
      <c r="S15" s="4"/>
      <c r="T15" s="5">
        <f t="shared" si="8"/>
        <v>0</v>
      </c>
      <c r="U15" s="6" t="str">
        <f t="shared" si="9"/>
        <v/>
      </c>
      <c r="V15" s="5">
        <f t="shared" si="10"/>
        <v>0</v>
      </c>
      <c r="W15" s="5">
        <f t="shared" si="11"/>
        <v>7500</v>
      </c>
      <c r="X15" s="5">
        <f t="shared" si="12"/>
        <v>-7500</v>
      </c>
      <c r="Y15" s="6">
        <f t="shared" si="13"/>
        <v>0</v>
      </c>
    </row>
    <row r="16" spans="1:25" x14ac:dyDescent="0.25">
      <c r="A16" s="3" t="s">
        <v>19</v>
      </c>
      <c r="B16" s="5">
        <f>50</f>
        <v>50</v>
      </c>
      <c r="C16" s="4"/>
      <c r="D16" s="5">
        <f t="shared" si="0"/>
        <v>50</v>
      </c>
      <c r="E16" s="6" t="str">
        <f t="shared" si="1"/>
        <v/>
      </c>
      <c r="F16" s="4"/>
      <c r="G16" s="4"/>
      <c r="H16" s="5">
        <f t="shared" si="2"/>
        <v>0</v>
      </c>
      <c r="I16" s="6" t="str">
        <f t="shared" si="3"/>
        <v/>
      </c>
      <c r="J16" s="4"/>
      <c r="K16" s="4"/>
      <c r="L16" s="5">
        <f t="shared" si="4"/>
        <v>0</v>
      </c>
      <c r="M16" s="6" t="str">
        <f t="shared" si="5"/>
        <v/>
      </c>
      <c r="N16" s="4"/>
      <c r="O16" s="4"/>
      <c r="P16" s="5">
        <f t="shared" si="6"/>
        <v>0</v>
      </c>
      <c r="Q16" s="6" t="str">
        <f t="shared" si="7"/>
        <v/>
      </c>
      <c r="R16" s="4"/>
      <c r="S16" s="4"/>
      <c r="T16" s="5">
        <f t="shared" si="8"/>
        <v>0</v>
      </c>
      <c r="U16" s="6" t="str">
        <f t="shared" si="9"/>
        <v/>
      </c>
      <c r="V16" s="5">
        <f t="shared" si="10"/>
        <v>50</v>
      </c>
      <c r="W16" s="5">
        <f t="shared" si="11"/>
        <v>0</v>
      </c>
      <c r="X16" s="5">
        <f t="shared" si="12"/>
        <v>50</v>
      </c>
      <c r="Y16" s="6" t="str">
        <f t="shared" si="13"/>
        <v/>
      </c>
    </row>
    <row r="17" spans="1:25" x14ac:dyDescent="0.25">
      <c r="A17" s="3" t="s">
        <v>20</v>
      </c>
      <c r="B17" s="7">
        <f>(((B13)+(B14))+(B15))+(B16)</f>
        <v>48494</v>
      </c>
      <c r="C17" s="7">
        <f>(((C13)+(C14))+(C15))+(C16)</f>
        <v>39500</v>
      </c>
      <c r="D17" s="7">
        <f t="shared" si="0"/>
        <v>8994</v>
      </c>
      <c r="E17" s="8">
        <f t="shared" si="1"/>
        <v>1.2276962025316456</v>
      </c>
      <c r="F17" s="7">
        <f>(((F13)+(F14))+(F15))+(F16)</f>
        <v>0</v>
      </c>
      <c r="G17" s="7">
        <f>(((G13)+(G14))+(G15))+(G16)</f>
        <v>0</v>
      </c>
      <c r="H17" s="7">
        <f t="shared" si="2"/>
        <v>0</v>
      </c>
      <c r="I17" s="8" t="str">
        <f t="shared" si="3"/>
        <v/>
      </c>
      <c r="J17" s="7">
        <f>(((J13)+(J14))+(J15))+(J16)</f>
        <v>0</v>
      </c>
      <c r="K17" s="7">
        <f>(((K13)+(K14))+(K15))+(K16)</f>
        <v>0</v>
      </c>
      <c r="L17" s="7">
        <f t="shared" si="4"/>
        <v>0</v>
      </c>
      <c r="M17" s="8" t="str">
        <f t="shared" si="5"/>
        <v/>
      </c>
      <c r="N17" s="7">
        <f>(((N13)+(N14))+(N15))+(N16)</f>
        <v>0</v>
      </c>
      <c r="O17" s="7">
        <f>(((O13)+(O14))+(O15))+(O16)</f>
        <v>0</v>
      </c>
      <c r="P17" s="7">
        <f t="shared" si="6"/>
        <v>0</v>
      </c>
      <c r="Q17" s="8" t="str">
        <f t="shared" si="7"/>
        <v/>
      </c>
      <c r="R17" s="7">
        <f>(((R13)+(R14))+(R15))+(R16)</f>
        <v>0</v>
      </c>
      <c r="S17" s="7">
        <f>(((S13)+(S14))+(S15))+(S16)</f>
        <v>0</v>
      </c>
      <c r="T17" s="7">
        <f t="shared" si="8"/>
        <v>0</v>
      </c>
      <c r="U17" s="8" t="str">
        <f t="shared" si="9"/>
        <v/>
      </c>
      <c r="V17" s="7">
        <f t="shared" si="10"/>
        <v>48494</v>
      </c>
      <c r="W17" s="7">
        <f t="shared" si="11"/>
        <v>39500</v>
      </c>
      <c r="X17" s="7">
        <f t="shared" si="12"/>
        <v>8994</v>
      </c>
      <c r="Y17" s="8">
        <f t="shared" si="13"/>
        <v>1.2276962025316456</v>
      </c>
    </row>
    <row r="18" spans="1:25" x14ac:dyDescent="0.25">
      <c r="A18" s="3" t="s">
        <v>21</v>
      </c>
      <c r="B18" s="4"/>
      <c r="C18" s="4"/>
      <c r="D18" s="5">
        <f t="shared" si="0"/>
        <v>0</v>
      </c>
      <c r="E18" s="6" t="str">
        <f t="shared" si="1"/>
        <v/>
      </c>
      <c r="F18" s="4"/>
      <c r="G18" s="4"/>
      <c r="H18" s="5">
        <f t="shared" si="2"/>
        <v>0</v>
      </c>
      <c r="I18" s="6" t="str">
        <f t="shared" si="3"/>
        <v/>
      </c>
      <c r="J18" s="4"/>
      <c r="K18" s="4"/>
      <c r="L18" s="5">
        <f t="shared" si="4"/>
        <v>0</v>
      </c>
      <c r="M18" s="6" t="str">
        <f t="shared" si="5"/>
        <v/>
      </c>
      <c r="N18" s="4"/>
      <c r="O18" s="4"/>
      <c r="P18" s="5">
        <f t="shared" si="6"/>
        <v>0</v>
      </c>
      <c r="Q18" s="6" t="str">
        <f t="shared" si="7"/>
        <v/>
      </c>
      <c r="R18" s="4"/>
      <c r="S18" s="4"/>
      <c r="T18" s="5">
        <f t="shared" si="8"/>
        <v>0</v>
      </c>
      <c r="U18" s="6" t="str">
        <f t="shared" si="9"/>
        <v/>
      </c>
      <c r="V18" s="5">
        <f t="shared" si="10"/>
        <v>0</v>
      </c>
      <c r="W18" s="5">
        <f t="shared" si="11"/>
        <v>0</v>
      </c>
      <c r="X18" s="5">
        <f t="shared" si="12"/>
        <v>0</v>
      </c>
      <c r="Y18" s="6" t="str">
        <f t="shared" si="13"/>
        <v/>
      </c>
    </row>
    <row r="19" spans="1:25" x14ac:dyDescent="0.25">
      <c r="A19" s="3" t="s">
        <v>22</v>
      </c>
      <c r="B19" s="4"/>
      <c r="C19" s="4"/>
      <c r="D19" s="5">
        <f t="shared" si="0"/>
        <v>0</v>
      </c>
      <c r="E19" s="6" t="str">
        <f t="shared" si="1"/>
        <v/>
      </c>
      <c r="F19" s="4"/>
      <c r="G19" s="4"/>
      <c r="H19" s="5">
        <f t="shared" si="2"/>
        <v>0</v>
      </c>
      <c r="I19" s="6" t="str">
        <f t="shared" si="3"/>
        <v/>
      </c>
      <c r="J19" s="4"/>
      <c r="K19" s="4"/>
      <c r="L19" s="5">
        <f t="shared" si="4"/>
        <v>0</v>
      </c>
      <c r="M19" s="6" t="str">
        <f t="shared" si="5"/>
        <v/>
      </c>
      <c r="N19" s="5">
        <f>1473339</f>
        <v>1473339</v>
      </c>
      <c r="O19" s="5">
        <f>1525000</f>
        <v>1525000</v>
      </c>
      <c r="P19" s="5">
        <f t="shared" si="6"/>
        <v>-51661</v>
      </c>
      <c r="Q19" s="6">
        <f t="shared" si="7"/>
        <v>0.96612393442622946</v>
      </c>
      <c r="R19" s="4"/>
      <c r="S19" s="4"/>
      <c r="T19" s="5">
        <f t="shared" si="8"/>
        <v>0</v>
      </c>
      <c r="U19" s="6" t="str">
        <f t="shared" si="9"/>
        <v/>
      </c>
      <c r="V19" s="5">
        <f t="shared" si="10"/>
        <v>1473339</v>
      </c>
      <c r="W19" s="5">
        <f t="shared" si="11"/>
        <v>1525000</v>
      </c>
      <c r="X19" s="5">
        <f t="shared" si="12"/>
        <v>-51661</v>
      </c>
      <c r="Y19" s="6">
        <f t="shared" si="13"/>
        <v>0.96612393442622946</v>
      </c>
    </row>
    <row r="20" spans="1:25" x14ac:dyDescent="0.25">
      <c r="A20" s="3" t="s">
        <v>23</v>
      </c>
      <c r="B20" s="4"/>
      <c r="C20" s="4"/>
      <c r="D20" s="5">
        <f t="shared" si="0"/>
        <v>0</v>
      </c>
      <c r="E20" s="6" t="str">
        <f t="shared" si="1"/>
        <v/>
      </c>
      <c r="F20" s="4"/>
      <c r="G20" s="4"/>
      <c r="H20" s="5">
        <f t="shared" si="2"/>
        <v>0</v>
      </c>
      <c r="I20" s="6" t="str">
        <f t="shared" si="3"/>
        <v/>
      </c>
      <c r="J20" s="4"/>
      <c r="K20" s="4"/>
      <c r="L20" s="5">
        <f t="shared" si="4"/>
        <v>0</v>
      </c>
      <c r="M20" s="6" t="str">
        <f t="shared" si="5"/>
        <v/>
      </c>
      <c r="N20" s="4"/>
      <c r="O20" s="5">
        <f>-15000</f>
        <v>-15000</v>
      </c>
      <c r="P20" s="5">
        <f t="shared" si="6"/>
        <v>15000</v>
      </c>
      <c r="Q20" s="6">
        <f t="shared" si="7"/>
        <v>0</v>
      </c>
      <c r="R20" s="4"/>
      <c r="S20" s="4"/>
      <c r="T20" s="5">
        <f t="shared" si="8"/>
        <v>0</v>
      </c>
      <c r="U20" s="6" t="str">
        <f t="shared" si="9"/>
        <v/>
      </c>
      <c r="V20" s="5">
        <f t="shared" si="10"/>
        <v>0</v>
      </c>
      <c r="W20" s="5">
        <f t="shared" si="11"/>
        <v>-15000</v>
      </c>
      <c r="X20" s="5">
        <f t="shared" si="12"/>
        <v>15000</v>
      </c>
      <c r="Y20" s="6">
        <f t="shared" si="13"/>
        <v>0</v>
      </c>
    </row>
    <row r="21" spans="1:25" x14ac:dyDescent="0.25">
      <c r="A21" s="3" t="s">
        <v>24</v>
      </c>
      <c r="B21" s="4"/>
      <c r="C21" s="4"/>
      <c r="D21" s="5">
        <f t="shared" si="0"/>
        <v>0</v>
      </c>
      <c r="E21" s="6" t="str">
        <f t="shared" si="1"/>
        <v/>
      </c>
      <c r="F21" s="4"/>
      <c r="G21" s="4"/>
      <c r="H21" s="5">
        <f t="shared" si="2"/>
        <v>0</v>
      </c>
      <c r="I21" s="6" t="str">
        <f t="shared" si="3"/>
        <v/>
      </c>
      <c r="J21" s="4"/>
      <c r="K21" s="4"/>
      <c r="L21" s="5">
        <f t="shared" si="4"/>
        <v>0</v>
      </c>
      <c r="M21" s="6" t="str">
        <f t="shared" si="5"/>
        <v/>
      </c>
      <c r="N21" s="5">
        <f>536803.39</f>
        <v>536803.39</v>
      </c>
      <c r="O21" s="5">
        <f>402000</f>
        <v>402000</v>
      </c>
      <c r="P21" s="5">
        <f t="shared" si="6"/>
        <v>134803.39000000001</v>
      </c>
      <c r="Q21" s="6">
        <f t="shared" si="7"/>
        <v>1.335331815920398</v>
      </c>
      <c r="R21" s="4"/>
      <c r="S21" s="4"/>
      <c r="T21" s="5">
        <f t="shared" si="8"/>
        <v>0</v>
      </c>
      <c r="U21" s="6" t="str">
        <f t="shared" si="9"/>
        <v/>
      </c>
      <c r="V21" s="5">
        <f t="shared" si="10"/>
        <v>536803.39</v>
      </c>
      <c r="W21" s="5">
        <f t="shared" si="11"/>
        <v>402000</v>
      </c>
      <c r="X21" s="5">
        <f t="shared" si="12"/>
        <v>134803.39000000001</v>
      </c>
      <c r="Y21" s="6">
        <f t="shared" si="13"/>
        <v>1.335331815920398</v>
      </c>
    </row>
    <row r="22" spans="1:25" x14ac:dyDescent="0.25">
      <c r="A22" s="3" t="s">
        <v>25</v>
      </c>
      <c r="B22" s="4"/>
      <c r="C22" s="4"/>
      <c r="D22" s="5">
        <f t="shared" si="0"/>
        <v>0</v>
      </c>
      <c r="E22" s="6" t="str">
        <f t="shared" si="1"/>
        <v/>
      </c>
      <c r="F22" s="4"/>
      <c r="G22" s="4"/>
      <c r="H22" s="5">
        <f t="shared" si="2"/>
        <v>0</v>
      </c>
      <c r="I22" s="6" t="str">
        <f t="shared" si="3"/>
        <v/>
      </c>
      <c r="J22" s="4"/>
      <c r="K22" s="4"/>
      <c r="L22" s="5">
        <f t="shared" si="4"/>
        <v>0</v>
      </c>
      <c r="M22" s="6" t="str">
        <f t="shared" si="5"/>
        <v/>
      </c>
      <c r="N22" s="5">
        <f>406352.52</f>
        <v>406352.52</v>
      </c>
      <c r="O22" s="5">
        <f>431000</f>
        <v>431000</v>
      </c>
      <c r="P22" s="5">
        <f t="shared" si="6"/>
        <v>-24647.479999999981</v>
      </c>
      <c r="Q22" s="6">
        <f t="shared" si="7"/>
        <v>0.94281327146171701</v>
      </c>
      <c r="R22" s="4"/>
      <c r="S22" s="4"/>
      <c r="T22" s="5">
        <f t="shared" si="8"/>
        <v>0</v>
      </c>
      <c r="U22" s="6" t="str">
        <f t="shared" si="9"/>
        <v/>
      </c>
      <c r="V22" s="5">
        <f t="shared" si="10"/>
        <v>406352.52</v>
      </c>
      <c r="W22" s="5">
        <f t="shared" si="11"/>
        <v>431000</v>
      </c>
      <c r="X22" s="5">
        <f t="shared" si="12"/>
        <v>-24647.479999999981</v>
      </c>
      <c r="Y22" s="6">
        <f t="shared" si="13"/>
        <v>0.94281327146171701</v>
      </c>
    </row>
    <row r="23" spans="1:25" x14ac:dyDescent="0.25">
      <c r="A23" s="3" t="s">
        <v>26</v>
      </c>
      <c r="B23" s="4"/>
      <c r="C23" s="4"/>
      <c r="D23" s="5">
        <f t="shared" si="0"/>
        <v>0</v>
      </c>
      <c r="E23" s="6" t="str">
        <f t="shared" si="1"/>
        <v/>
      </c>
      <c r="F23" s="4"/>
      <c r="G23" s="4"/>
      <c r="H23" s="5">
        <f t="shared" si="2"/>
        <v>0</v>
      </c>
      <c r="I23" s="6" t="str">
        <f t="shared" si="3"/>
        <v/>
      </c>
      <c r="J23" s="4"/>
      <c r="K23" s="4"/>
      <c r="L23" s="5">
        <f t="shared" si="4"/>
        <v>0</v>
      </c>
      <c r="M23" s="6" t="str">
        <f t="shared" si="5"/>
        <v/>
      </c>
      <c r="N23" s="5">
        <f>1100</f>
        <v>1100</v>
      </c>
      <c r="O23" s="5">
        <f>35000</f>
        <v>35000</v>
      </c>
      <c r="P23" s="5">
        <f t="shared" si="6"/>
        <v>-33900</v>
      </c>
      <c r="Q23" s="6">
        <f t="shared" si="7"/>
        <v>3.1428571428571431E-2</v>
      </c>
      <c r="R23" s="4"/>
      <c r="S23" s="4"/>
      <c r="T23" s="5">
        <f t="shared" si="8"/>
        <v>0</v>
      </c>
      <c r="U23" s="6" t="str">
        <f t="shared" si="9"/>
        <v/>
      </c>
      <c r="V23" s="5">
        <f t="shared" si="10"/>
        <v>1100</v>
      </c>
      <c r="W23" s="5">
        <f t="shared" si="11"/>
        <v>35000</v>
      </c>
      <c r="X23" s="5">
        <f t="shared" si="12"/>
        <v>-33900</v>
      </c>
      <c r="Y23" s="6">
        <f t="shared" si="13"/>
        <v>3.1428571428571431E-2</v>
      </c>
    </row>
    <row r="24" spans="1:25" x14ac:dyDescent="0.25">
      <c r="A24" s="3" t="s">
        <v>27</v>
      </c>
      <c r="B24" s="5">
        <f>70</f>
        <v>70</v>
      </c>
      <c r="C24" s="4"/>
      <c r="D24" s="5">
        <f t="shared" si="0"/>
        <v>70</v>
      </c>
      <c r="E24" s="6" t="str">
        <f t="shared" si="1"/>
        <v/>
      </c>
      <c r="F24" s="4"/>
      <c r="G24" s="4"/>
      <c r="H24" s="5">
        <f t="shared" si="2"/>
        <v>0</v>
      </c>
      <c r="I24" s="6" t="str">
        <f t="shared" si="3"/>
        <v/>
      </c>
      <c r="J24" s="4"/>
      <c r="K24" s="4"/>
      <c r="L24" s="5">
        <f t="shared" si="4"/>
        <v>0</v>
      </c>
      <c r="M24" s="6" t="str">
        <f t="shared" si="5"/>
        <v/>
      </c>
      <c r="N24" s="5">
        <f>4200</f>
        <v>4200</v>
      </c>
      <c r="O24" s="5">
        <f>1000</f>
        <v>1000</v>
      </c>
      <c r="P24" s="5">
        <f t="shared" si="6"/>
        <v>3200</v>
      </c>
      <c r="Q24" s="6">
        <f t="shared" si="7"/>
        <v>4.2</v>
      </c>
      <c r="R24" s="4"/>
      <c r="S24" s="4"/>
      <c r="T24" s="5">
        <f t="shared" si="8"/>
        <v>0</v>
      </c>
      <c r="U24" s="6" t="str">
        <f t="shared" si="9"/>
        <v/>
      </c>
      <c r="V24" s="5">
        <f t="shared" si="10"/>
        <v>4270</v>
      </c>
      <c r="W24" s="5">
        <f t="shared" si="11"/>
        <v>1000</v>
      </c>
      <c r="X24" s="5">
        <f t="shared" si="12"/>
        <v>3270</v>
      </c>
      <c r="Y24" s="6">
        <f t="shared" si="13"/>
        <v>4.2699999999999996</v>
      </c>
    </row>
    <row r="25" spans="1:25" x14ac:dyDescent="0.25">
      <c r="A25" s="3" t="s">
        <v>28</v>
      </c>
      <c r="B25" s="4"/>
      <c r="C25" s="4"/>
      <c r="D25" s="5">
        <f t="shared" si="0"/>
        <v>0</v>
      </c>
      <c r="E25" s="6" t="str">
        <f t="shared" si="1"/>
        <v/>
      </c>
      <c r="F25" s="4"/>
      <c r="G25" s="4"/>
      <c r="H25" s="5">
        <f t="shared" si="2"/>
        <v>0</v>
      </c>
      <c r="I25" s="6" t="str">
        <f t="shared" si="3"/>
        <v/>
      </c>
      <c r="J25" s="4"/>
      <c r="K25" s="4"/>
      <c r="L25" s="5">
        <f t="shared" si="4"/>
        <v>0</v>
      </c>
      <c r="M25" s="6" t="str">
        <f t="shared" si="5"/>
        <v/>
      </c>
      <c r="N25" s="5">
        <f>8261.98</f>
        <v>8261.98</v>
      </c>
      <c r="O25" s="5">
        <f>7500</f>
        <v>7500</v>
      </c>
      <c r="P25" s="5">
        <f t="shared" si="6"/>
        <v>761.97999999999956</v>
      </c>
      <c r="Q25" s="6">
        <f t="shared" si="7"/>
        <v>1.1015973333333333</v>
      </c>
      <c r="R25" s="4"/>
      <c r="S25" s="4"/>
      <c r="T25" s="5">
        <f t="shared" si="8"/>
        <v>0</v>
      </c>
      <c r="U25" s="6" t="str">
        <f t="shared" si="9"/>
        <v/>
      </c>
      <c r="V25" s="5">
        <f t="shared" si="10"/>
        <v>8261.98</v>
      </c>
      <c r="W25" s="5">
        <f t="shared" si="11"/>
        <v>7500</v>
      </c>
      <c r="X25" s="5">
        <f t="shared" si="12"/>
        <v>761.97999999999956</v>
      </c>
      <c r="Y25" s="6">
        <f t="shared" si="13"/>
        <v>1.1015973333333333</v>
      </c>
    </row>
    <row r="26" spans="1:25" x14ac:dyDescent="0.25">
      <c r="A26" s="3" t="s">
        <v>29</v>
      </c>
      <c r="B26" s="7">
        <f>(((((((B18)+(B19))+(B20))+(B21))+(B22))+(B23))+(B24))+(B25)</f>
        <v>70</v>
      </c>
      <c r="C26" s="7">
        <f>(((((((C18)+(C19))+(C20))+(C21))+(C22))+(C23))+(C24))+(C25)</f>
        <v>0</v>
      </c>
      <c r="D26" s="7">
        <f t="shared" si="0"/>
        <v>70</v>
      </c>
      <c r="E26" s="8" t="str">
        <f t="shared" si="1"/>
        <v/>
      </c>
      <c r="F26" s="7">
        <f>(((((((F18)+(F19))+(F20))+(F21))+(F22))+(F23))+(F24))+(F25)</f>
        <v>0</v>
      </c>
      <c r="G26" s="7">
        <f>(((((((G18)+(G19))+(G20))+(G21))+(G22))+(G23))+(G24))+(G25)</f>
        <v>0</v>
      </c>
      <c r="H26" s="7">
        <f t="shared" si="2"/>
        <v>0</v>
      </c>
      <c r="I26" s="8" t="str">
        <f t="shared" si="3"/>
        <v/>
      </c>
      <c r="J26" s="7">
        <f>(((((((J18)+(J19))+(J20))+(J21))+(J22))+(J23))+(J24))+(J25)</f>
        <v>0</v>
      </c>
      <c r="K26" s="7">
        <f>(((((((K18)+(K19))+(K20))+(K21))+(K22))+(K23))+(K24))+(K25)</f>
        <v>0</v>
      </c>
      <c r="L26" s="7">
        <f t="shared" si="4"/>
        <v>0</v>
      </c>
      <c r="M26" s="8" t="str">
        <f t="shared" si="5"/>
        <v/>
      </c>
      <c r="N26" s="7">
        <f>(((((((N18)+(N19))+(N20))+(N21))+(N22))+(N23))+(N24))+(N25)</f>
        <v>2430056.89</v>
      </c>
      <c r="O26" s="7">
        <f>(((((((O18)+(O19))+(O20))+(O21))+(O22))+(O23))+(O24))+(O25)</f>
        <v>2386500</v>
      </c>
      <c r="P26" s="7">
        <f t="shared" si="6"/>
        <v>43556.89000000013</v>
      </c>
      <c r="Q26" s="8">
        <f t="shared" si="7"/>
        <v>1.0182513681122984</v>
      </c>
      <c r="R26" s="7">
        <f>(((((((R18)+(R19))+(R20))+(R21))+(R22))+(R23))+(R24))+(R25)</f>
        <v>0</v>
      </c>
      <c r="S26" s="7">
        <f>(((((((S18)+(S19))+(S20))+(S21))+(S22))+(S23))+(S24))+(S25)</f>
        <v>0</v>
      </c>
      <c r="T26" s="7">
        <f t="shared" si="8"/>
        <v>0</v>
      </c>
      <c r="U26" s="8" t="str">
        <f t="shared" si="9"/>
        <v/>
      </c>
      <c r="V26" s="7">
        <f t="shared" si="10"/>
        <v>2430126.89</v>
      </c>
      <c r="W26" s="7">
        <f t="shared" si="11"/>
        <v>2386500</v>
      </c>
      <c r="X26" s="7">
        <f t="shared" si="12"/>
        <v>43626.89000000013</v>
      </c>
      <c r="Y26" s="8">
        <f t="shared" si="13"/>
        <v>1.0182806997695371</v>
      </c>
    </row>
    <row r="27" spans="1:25" x14ac:dyDescent="0.25">
      <c r="A27" s="3" t="s">
        <v>30</v>
      </c>
      <c r="B27" s="4"/>
      <c r="C27" s="4"/>
      <c r="D27" s="5">
        <f t="shared" si="0"/>
        <v>0</v>
      </c>
      <c r="E27" s="6" t="str">
        <f t="shared" si="1"/>
        <v/>
      </c>
      <c r="F27" s="5">
        <f>0</f>
        <v>0</v>
      </c>
      <c r="G27" s="4"/>
      <c r="H27" s="5">
        <f t="shared" si="2"/>
        <v>0</v>
      </c>
      <c r="I27" s="6" t="str">
        <f t="shared" si="3"/>
        <v/>
      </c>
      <c r="J27" s="4"/>
      <c r="K27" s="4"/>
      <c r="L27" s="5">
        <f t="shared" si="4"/>
        <v>0</v>
      </c>
      <c r="M27" s="6" t="str">
        <f t="shared" si="5"/>
        <v/>
      </c>
      <c r="N27" s="4"/>
      <c r="O27" s="4"/>
      <c r="P27" s="5">
        <f t="shared" si="6"/>
        <v>0</v>
      </c>
      <c r="Q27" s="6" t="str">
        <f t="shared" si="7"/>
        <v/>
      </c>
      <c r="R27" s="4"/>
      <c r="S27" s="4"/>
      <c r="T27" s="5">
        <f t="shared" si="8"/>
        <v>0</v>
      </c>
      <c r="U27" s="6" t="str">
        <f t="shared" si="9"/>
        <v/>
      </c>
      <c r="V27" s="5">
        <f t="shared" si="10"/>
        <v>0</v>
      </c>
      <c r="W27" s="5">
        <f t="shared" si="11"/>
        <v>0</v>
      </c>
      <c r="X27" s="5">
        <f t="shared" si="12"/>
        <v>0</v>
      </c>
      <c r="Y27" s="6" t="str">
        <f t="shared" si="13"/>
        <v/>
      </c>
    </row>
    <row r="28" spans="1:25" x14ac:dyDescent="0.25">
      <c r="A28" s="3" t="s">
        <v>31</v>
      </c>
      <c r="B28" s="4"/>
      <c r="C28" s="4"/>
      <c r="D28" s="5">
        <f t="shared" si="0"/>
        <v>0</v>
      </c>
      <c r="E28" s="6" t="str">
        <f t="shared" si="1"/>
        <v/>
      </c>
      <c r="F28" s="5">
        <f>22500</f>
        <v>22500</v>
      </c>
      <c r="G28" s="5">
        <f>30000</f>
        <v>30000</v>
      </c>
      <c r="H28" s="5">
        <f t="shared" si="2"/>
        <v>-7500</v>
      </c>
      <c r="I28" s="6">
        <f t="shared" si="3"/>
        <v>0.75</v>
      </c>
      <c r="J28" s="4"/>
      <c r="K28" s="4"/>
      <c r="L28" s="5">
        <f t="shared" si="4"/>
        <v>0</v>
      </c>
      <c r="M28" s="6" t="str">
        <f t="shared" si="5"/>
        <v/>
      </c>
      <c r="N28" s="4"/>
      <c r="O28" s="4"/>
      <c r="P28" s="5">
        <f t="shared" si="6"/>
        <v>0</v>
      </c>
      <c r="Q28" s="6" t="str">
        <f t="shared" si="7"/>
        <v/>
      </c>
      <c r="R28" s="4"/>
      <c r="S28" s="4"/>
      <c r="T28" s="5">
        <f t="shared" si="8"/>
        <v>0</v>
      </c>
      <c r="U28" s="6" t="str">
        <f t="shared" si="9"/>
        <v/>
      </c>
      <c r="V28" s="5">
        <f t="shared" si="10"/>
        <v>22500</v>
      </c>
      <c r="W28" s="5">
        <f t="shared" si="11"/>
        <v>30000</v>
      </c>
      <c r="X28" s="5">
        <f t="shared" si="12"/>
        <v>-7500</v>
      </c>
      <c r="Y28" s="6">
        <f t="shared" si="13"/>
        <v>0.75</v>
      </c>
    </row>
    <row r="29" spans="1:25" x14ac:dyDescent="0.25">
      <c r="A29" s="3" t="s">
        <v>32</v>
      </c>
      <c r="B29" s="4"/>
      <c r="C29" s="4"/>
      <c r="D29" s="5">
        <f t="shared" si="0"/>
        <v>0</v>
      </c>
      <c r="E29" s="6" t="str">
        <f t="shared" si="1"/>
        <v/>
      </c>
      <c r="F29" s="5">
        <f>77219.62</f>
        <v>77219.62</v>
      </c>
      <c r="G29" s="5">
        <f>55000</f>
        <v>55000</v>
      </c>
      <c r="H29" s="5">
        <f t="shared" si="2"/>
        <v>22219.619999999995</v>
      </c>
      <c r="I29" s="6">
        <f t="shared" si="3"/>
        <v>1.4039930909090907</v>
      </c>
      <c r="J29" s="4"/>
      <c r="K29" s="4"/>
      <c r="L29" s="5">
        <f t="shared" si="4"/>
        <v>0</v>
      </c>
      <c r="M29" s="6" t="str">
        <f t="shared" si="5"/>
        <v/>
      </c>
      <c r="N29" s="4"/>
      <c r="O29" s="4"/>
      <c r="P29" s="5">
        <f t="shared" si="6"/>
        <v>0</v>
      </c>
      <c r="Q29" s="6" t="str">
        <f t="shared" si="7"/>
        <v/>
      </c>
      <c r="R29" s="4"/>
      <c r="S29" s="4"/>
      <c r="T29" s="5">
        <f t="shared" si="8"/>
        <v>0</v>
      </c>
      <c r="U29" s="6" t="str">
        <f t="shared" si="9"/>
        <v/>
      </c>
      <c r="V29" s="5">
        <f t="shared" si="10"/>
        <v>77219.62</v>
      </c>
      <c r="W29" s="5">
        <f t="shared" si="11"/>
        <v>55000</v>
      </c>
      <c r="X29" s="5">
        <f t="shared" si="12"/>
        <v>22219.619999999995</v>
      </c>
      <c r="Y29" s="6">
        <f t="shared" si="13"/>
        <v>1.4039930909090907</v>
      </c>
    </row>
    <row r="30" spans="1:25" x14ac:dyDescent="0.25">
      <c r="A30" s="3" t="s">
        <v>33</v>
      </c>
      <c r="B30" s="4"/>
      <c r="C30" s="4"/>
      <c r="D30" s="5">
        <f t="shared" si="0"/>
        <v>0</v>
      </c>
      <c r="E30" s="6" t="str">
        <f t="shared" si="1"/>
        <v/>
      </c>
      <c r="F30" s="4"/>
      <c r="G30" s="4"/>
      <c r="H30" s="5">
        <f t="shared" si="2"/>
        <v>0</v>
      </c>
      <c r="I30" s="6" t="str">
        <f t="shared" si="3"/>
        <v/>
      </c>
      <c r="J30" s="4"/>
      <c r="K30" s="5">
        <f>0</f>
        <v>0</v>
      </c>
      <c r="L30" s="5">
        <f t="shared" si="4"/>
        <v>0</v>
      </c>
      <c r="M30" s="6" t="str">
        <f t="shared" si="5"/>
        <v/>
      </c>
      <c r="N30" s="4"/>
      <c r="O30" s="4"/>
      <c r="P30" s="5">
        <f t="shared" si="6"/>
        <v>0</v>
      </c>
      <c r="Q30" s="6" t="str">
        <f t="shared" si="7"/>
        <v/>
      </c>
      <c r="R30" s="4"/>
      <c r="S30" s="4"/>
      <c r="T30" s="5">
        <f t="shared" si="8"/>
        <v>0</v>
      </c>
      <c r="U30" s="6" t="str">
        <f t="shared" si="9"/>
        <v/>
      </c>
      <c r="V30" s="5">
        <f t="shared" si="10"/>
        <v>0</v>
      </c>
      <c r="W30" s="5">
        <f t="shared" si="11"/>
        <v>0</v>
      </c>
      <c r="X30" s="5">
        <f t="shared" si="12"/>
        <v>0</v>
      </c>
      <c r="Y30" s="6" t="str">
        <f t="shared" si="13"/>
        <v/>
      </c>
    </row>
    <row r="31" spans="1:25" x14ac:dyDescent="0.25">
      <c r="A31" s="3" t="s">
        <v>34</v>
      </c>
      <c r="B31" s="7">
        <f>(((B27)+(B28))+(B29))+(B30)</f>
        <v>0</v>
      </c>
      <c r="C31" s="7">
        <f>(((C27)+(C28))+(C29))+(C30)</f>
        <v>0</v>
      </c>
      <c r="D31" s="7">
        <f t="shared" si="0"/>
        <v>0</v>
      </c>
      <c r="E31" s="8" t="str">
        <f t="shared" si="1"/>
        <v/>
      </c>
      <c r="F31" s="7">
        <f>(((F27)+(F28))+(F29))+(F30)</f>
        <v>99719.62</v>
      </c>
      <c r="G31" s="7">
        <f>(((G27)+(G28))+(G29))+(G30)</f>
        <v>85000</v>
      </c>
      <c r="H31" s="7">
        <f t="shared" si="2"/>
        <v>14719.619999999995</v>
      </c>
      <c r="I31" s="8">
        <f t="shared" si="3"/>
        <v>1.1731719999999999</v>
      </c>
      <c r="J31" s="7">
        <f>(((J27)+(J28))+(J29))+(J30)</f>
        <v>0</v>
      </c>
      <c r="K31" s="7">
        <f>(((K27)+(K28))+(K29))+(K30)</f>
        <v>0</v>
      </c>
      <c r="L31" s="7">
        <f t="shared" si="4"/>
        <v>0</v>
      </c>
      <c r="M31" s="8" t="str">
        <f t="shared" si="5"/>
        <v/>
      </c>
      <c r="N31" s="7">
        <f>(((N27)+(N28))+(N29))+(N30)</f>
        <v>0</v>
      </c>
      <c r="O31" s="7">
        <f>(((O27)+(O28))+(O29))+(O30)</f>
        <v>0</v>
      </c>
      <c r="P31" s="7">
        <f t="shared" si="6"/>
        <v>0</v>
      </c>
      <c r="Q31" s="8" t="str">
        <f t="shared" si="7"/>
        <v/>
      </c>
      <c r="R31" s="7">
        <f>(((R27)+(R28))+(R29))+(R30)</f>
        <v>0</v>
      </c>
      <c r="S31" s="7">
        <f>(((S27)+(S28))+(S29))+(S30)</f>
        <v>0</v>
      </c>
      <c r="T31" s="7">
        <f t="shared" si="8"/>
        <v>0</v>
      </c>
      <c r="U31" s="8" t="str">
        <f t="shared" si="9"/>
        <v/>
      </c>
      <c r="V31" s="7">
        <f t="shared" si="10"/>
        <v>99719.62</v>
      </c>
      <c r="W31" s="7">
        <f t="shared" si="11"/>
        <v>85000</v>
      </c>
      <c r="X31" s="7">
        <f t="shared" si="12"/>
        <v>14719.619999999995</v>
      </c>
      <c r="Y31" s="8">
        <f t="shared" si="13"/>
        <v>1.1731719999999999</v>
      </c>
    </row>
    <row r="32" spans="1:25" x14ac:dyDescent="0.25">
      <c r="A32" s="3" t="s">
        <v>35</v>
      </c>
      <c r="B32" s="4"/>
      <c r="C32" s="4"/>
      <c r="D32" s="5">
        <f t="shared" si="0"/>
        <v>0</v>
      </c>
      <c r="E32" s="6" t="str">
        <f t="shared" si="1"/>
        <v/>
      </c>
      <c r="F32" s="4"/>
      <c r="G32" s="4"/>
      <c r="H32" s="5">
        <f t="shared" si="2"/>
        <v>0</v>
      </c>
      <c r="I32" s="6" t="str">
        <f t="shared" si="3"/>
        <v/>
      </c>
      <c r="J32" s="4"/>
      <c r="K32" s="5">
        <f>0</f>
        <v>0</v>
      </c>
      <c r="L32" s="5">
        <f t="shared" si="4"/>
        <v>0</v>
      </c>
      <c r="M32" s="6" t="str">
        <f t="shared" si="5"/>
        <v/>
      </c>
      <c r="N32" s="5">
        <f>20310</f>
        <v>20310</v>
      </c>
      <c r="O32" s="5">
        <f>20000</f>
        <v>20000</v>
      </c>
      <c r="P32" s="5">
        <f t="shared" si="6"/>
        <v>310</v>
      </c>
      <c r="Q32" s="6">
        <f t="shared" si="7"/>
        <v>1.0155000000000001</v>
      </c>
      <c r="R32" s="4"/>
      <c r="S32" s="4"/>
      <c r="T32" s="5">
        <f t="shared" si="8"/>
        <v>0</v>
      </c>
      <c r="U32" s="6" t="str">
        <f t="shared" si="9"/>
        <v/>
      </c>
      <c r="V32" s="5">
        <f t="shared" si="10"/>
        <v>20310</v>
      </c>
      <c r="W32" s="5">
        <f t="shared" si="11"/>
        <v>20000</v>
      </c>
      <c r="X32" s="5">
        <f t="shared" si="12"/>
        <v>310</v>
      </c>
      <c r="Y32" s="6">
        <f t="shared" si="13"/>
        <v>1.0155000000000001</v>
      </c>
    </row>
    <row r="33" spans="1:25" x14ac:dyDescent="0.25">
      <c r="A33" s="3" t="s">
        <v>36</v>
      </c>
      <c r="B33" s="5">
        <f>-145</f>
        <v>-145</v>
      </c>
      <c r="C33" s="4"/>
      <c r="D33" s="5">
        <f t="shared" si="0"/>
        <v>-145</v>
      </c>
      <c r="E33" s="6" t="str">
        <f t="shared" si="1"/>
        <v/>
      </c>
      <c r="F33" s="4"/>
      <c r="G33" s="4"/>
      <c r="H33" s="5">
        <f t="shared" si="2"/>
        <v>0</v>
      </c>
      <c r="I33" s="6" t="str">
        <f t="shared" si="3"/>
        <v/>
      </c>
      <c r="J33" s="5">
        <f>145</f>
        <v>145</v>
      </c>
      <c r="K33" s="4"/>
      <c r="L33" s="5">
        <f t="shared" si="4"/>
        <v>145</v>
      </c>
      <c r="M33" s="6" t="str">
        <f t="shared" si="5"/>
        <v/>
      </c>
      <c r="N33" s="5">
        <f>-1258</f>
        <v>-1258</v>
      </c>
      <c r="O33" s="4"/>
      <c r="P33" s="5">
        <f t="shared" si="6"/>
        <v>-1258</v>
      </c>
      <c r="Q33" s="6" t="str">
        <f t="shared" si="7"/>
        <v/>
      </c>
      <c r="R33" s="4"/>
      <c r="S33" s="4"/>
      <c r="T33" s="5">
        <f t="shared" si="8"/>
        <v>0</v>
      </c>
      <c r="U33" s="6" t="str">
        <f t="shared" si="9"/>
        <v/>
      </c>
      <c r="V33" s="5">
        <f t="shared" si="10"/>
        <v>-1258</v>
      </c>
      <c r="W33" s="5">
        <f t="shared" si="11"/>
        <v>0</v>
      </c>
      <c r="X33" s="5">
        <f t="shared" si="12"/>
        <v>-1258</v>
      </c>
      <c r="Y33" s="6" t="str">
        <f t="shared" si="13"/>
        <v/>
      </c>
    </row>
    <row r="34" spans="1:25" x14ac:dyDescent="0.25">
      <c r="A34" s="3" t="s">
        <v>37</v>
      </c>
      <c r="B34" s="4"/>
      <c r="C34" s="5">
        <f>1000</f>
        <v>1000</v>
      </c>
      <c r="D34" s="5">
        <f t="shared" si="0"/>
        <v>-1000</v>
      </c>
      <c r="E34" s="6">
        <f t="shared" si="1"/>
        <v>0</v>
      </c>
      <c r="F34" s="4"/>
      <c r="G34" s="4"/>
      <c r="H34" s="5">
        <f t="shared" si="2"/>
        <v>0</v>
      </c>
      <c r="I34" s="6" t="str">
        <f t="shared" si="3"/>
        <v/>
      </c>
      <c r="J34" s="4"/>
      <c r="K34" s="5">
        <f>1500</f>
        <v>1500</v>
      </c>
      <c r="L34" s="5">
        <f t="shared" si="4"/>
        <v>-1500</v>
      </c>
      <c r="M34" s="6">
        <f t="shared" si="5"/>
        <v>0</v>
      </c>
      <c r="N34" s="4"/>
      <c r="O34" s="4"/>
      <c r="P34" s="5">
        <f t="shared" si="6"/>
        <v>0</v>
      </c>
      <c r="Q34" s="6" t="str">
        <f t="shared" si="7"/>
        <v/>
      </c>
      <c r="R34" s="4"/>
      <c r="S34" s="4"/>
      <c r="T34" s="5">
        <f t="shared" si="8"/>
        <v>0</v>
      </c>
      <c r="U34" s="6" t="str">
        <f t="shared" si="9"/>
        <v/>
      </c>
      <c r="V34" s="5">
        <f t="shared" si="10"/>
        <v>0</v>
      </c>
      <c r="W34" s="5">
        <f t="shared" si="11"/>
        <v>2500</v>
      </c>
      <c r="X34" s="5">
        <f t="shared" si="12"/>
        <v>-2500</v>
      </c>
      <c r="Y34" s="6">
        <f t="shared" si="13"/>
        <v>0</v>
      </c>
    </row>
    <row r="35" spans="1:25" x14ac:dyDescent="0.25">
      <c r="A35" s="3" t="s">
        <v>38</v>
      </c>
      <c r="B35" s="4"/>
      <c r="C35" s="5">
        <f>1000</f>
        <v>1000</v>
      </c>
      <c r="D35" s="5">
        <f t="shared" si="0"/>
        <v>-1000</v>
      </c>
      <c r="E35" s="6">
        <f t="shared" si="1"/>
        <v>0</v>
      </c>
      <c r="F35" s="4"/>
      <c r="G35" s="4"/>
      <c r="H35" s="5">
        <f t="shared" si="2"/>
        <v>0</v>
      </c>
      <c r="I35" s="6" t="str">
        <f t="shared" si="3"/>
        <v/>
      </c>
      <c r="J35" s="4"/>
      <c r="K35" s="5">
        <f>1500</f>
        <v>1500</v>
      </c>
      <c r="L35" s="5">
        <f t="shared" si="4"/>
        <v>-1500</v>
      </c>
      <c r="M35" s="6">
        <f t="shared" si="5"/>
        <v>0</v>
      </c>
      <c r="N35" s="4"/>
      <c r="O35" s="5">
        <f>1000</f>
        <v>1000</v>
      </c>
      <c r="P35" s="5">
        <f t="shared" si="6"/>
        <v>-1000</v>
      </c>
      <c r="Q35" s="6">
        <f t="shared" si="7"/>
        <v>0</v>
      </c>
      <c r="R35" s="4"/>
      <c r="S35" s="4"/>
      <c r="T35" s="5">
        <f t="shared" si="8"/>
        <v>0</v>
      </c>
      <c r="U35" s="6" t="str">
        <f t="shared" si="9"/>
        <v/>
      </c>
      <c r="V35" s="5">
        <f t="shared" si="10"/>
        <v>0</v>
      </c>
      <c r="W35" s="5">
        <f t="shared" si="11"/>
        <v>3500</v>
      </c>
      <c r="X35" s="5">
        <f t="shared" si="12"/>
        <v>-3500</v>
      </c>
      <c r="Y35" s="6">
        <f t="shared" si="13"/>
        <v>0</v>
      </c>
    </row>
    <row r="36" spans="1:25" x14ac:dyDescent="0.25">
      <c r="A36" s="3" t="s">
        <v>39</v>
      </c>
      <c r="B36" s="7">
        <f>((B33)+(B34))+(B35)</f>
        <v>-145</v>
      </c>
      <c r="C36" s="7">
        <f>((C33)+(C34))+(C35)</f>
        <v>2000</v>
      </c>
      <c r="D36" s="7">
        <f t="shared" si="0"/>
        <v>-2145</v>
      </c>
      <c r="E36" s="8">
        <f t="shared" si="1"/>
        <v>-7.2499999999999995E-2</v>
      </c>
      <c r="F36" s="7">
        <f>((F33)+(F34))+(F35)</f>
        <v>0</v>
      </c>
      <c r="G36" s="7">
        <f>((G33)+(G34))+(G35)</f>
        <v>0</v>
      </c>
      <c r="H36" s="7">
        <f t="shared" si="2"/>
        <v>0</v>
      </c>
      <c r="I36" s="8" t="str">
        <f t="shared" si="3"/>
        <v/>
      </c>
      <c r="J36" s="7">
        <f>((J33)+(J34))+(J35)</f>
        <v>145</v>
      </c>
      <c r="K36" s="7">
        <f>((K33)+(K34))+(K35)</f>
        <v>3000</v>
      </c>
      <c r="L36" s="7">
        <f t="shared" si="4"/>
        <v>-2855</v>
      </c>
      <c r="M36" s="8">
        <f t="shared" si="5"/>
        <v>4.8333333333333332E-2</v>
      </c>
      <c r="N36" s="7">
        <f>((N33)+(N34))+(N35)</f>
        <v>-1258</v>
      </c>
      <c r="O36" s="7">
        <f>((O33)+(O34))+(O35)</f>
        <v>1000</v>
      </c>
      <c r="P36" s="7">
        <f t="shared" si="6"/>
        <v>-2258</v>
      </c>
      <c r="Q36" s="8">
        <f t="shared" si="7"/>
        <v>-1.258</v>
      </c>
      <c r="R36" s="7">
        <f>((R33)+(R34))+(R35)</f>
        <v>0</v>
      </c>
      <c r="S36" s="7">
        <f>((S33)+(S34))+(S35)</f>
        <v>0</v>
      </c>
      <c r="T36" s="7">
        <f t="shared" si="8"/>
        <v>0</v>
      </c>
      <c r="U36" s="8" t="str">
        <f t="shared" si="9"/>
        <v/>
      </c>
      <c r="V36" s="7">
        <f t="shared" si="10"/>
        <v>-1258</v>
      </c>
      <c r="W36" s="7">
        <f t="shared" si="11"/>
        <v>6000</v>
      </c>
      <c r="X36" s="7">
        <f t="shared" si="12"/>
        <v>-7258</v>
      </c>
      <c r="Y36" s="8">
        <f t="shared" si="13"/>
        <v>-0.20966666666666667</v>
      </c>
    </row>
    <row r="37" spans="1:25" x14ac:dyDescent="0.25">
      <c r="A37" s="3" t="s">
        <v>40</v>
      </c>
      <c r="B37" s="4"/>
      <c r="C37" s="4"/>
      <c r="D37" s="5">
        <f t="shared" si="0"/>
        <v>0</v>
      </c>
      <c r="E37" s="6" t="str">
        <f t="shared" si="1"/>
        <v/>
      </c>
      <c r="F37" s="4"/>
      <c r="G37" s="4"/>
      <c r="H37" s="5">
        <f t="shared" si="2"/>
        <v>0</v>
      </c>
      <c r="I37" s="6" t="str">
        <f t="shared" si="3"/>
        <v/>
      </c>
      <c r="J37" s="5">
        <f>5220.93</f>
        <v>5220.93</v>
      </c>
      <c r="K37" s="5">
        <f>15500</f>
        <v>15500</v>
      </c>
      <c r="L37" s="5">
        <f t="shared" si="4"/>
        <v>-10279.07</v>
      </c>
      <c r="M37" s="6">
        <f t="shared" si="5"/>
        <v>0.33683419354838712</v>
      </c>
      <c r="N37" s="4"/>
      <c r="O37" s="4"/>
      <c r="P37" s="5">
        <f t="shared" si="6"/>
        <v>0</v>
      </c>
      <c r="Q37" s="6" t="str">
        <f t="shared" si="7"/>
        <v/>
      </c>
      <c r="R37" s="5">
        <f>1053.39</f>
        <v>1053.3900000000001</v>
      </c>
      <c r="S37" s="4"/>
      <c r="T37" s="5">
        <f t="shared" si="8"/>
        <v>1053.3900000000001</v>
      </c>
      <c r="U37" s="6" t="str">
        <f t="shared" si="9"/>
        <v/>
      </c>
      <c r="V37" s="5">
        <f t="shared" si="10"/>
        <v>6274.3200000000006</v>
      </c>
      <c r="W37" s="5">
        <f t="shared" si="11"/>
        <v>15500</v>
      </c>
      <c r="X37" s="5">
        <f t="shared" si="12"/>
        <v>-9225.68</v>
      </c>
      <c r="Y37" s="6">
        <f t="shared" si="13"/>
        <v>0.40479483870967747</v>
      </c>
    </row>
    <row r="38" spans="1:25" x14ac:dyDescent="0.25">
      <c r="A38" s="3" t="s">
        <v>41</v>
      </c>
      <c r="B38" s="4"/>
      <c r="C38" s="4"/>
      <c r="D38" s="5">
        <f t="shared" si="0"/>
        <v>0</v>
      </c>
      <c r="E38" s="6" t="str">
        <f t="shared" si="1"/>
        <v/>
      </c>
      <c r="F38" s="4"/>
      <c r="G38" s="4"/>
      <c r="H38" s="5">
        <f t="shared" si="2"/>
        <v>0</v>
      </c>
      <c r="I38" s="6" t="str">
        <f t="shared" si="3"/>
        <v/>
      </c>
      <c r="J38" s="5">
        <f>10161.88</f>
        <v>10161.879999999999</v>
      </c>
      <c r="K38" s="5">
        <f>5000</f>
        <v>5000</v>
      </c>
      <c r="L38" s="5">
        <f t="shared" si="4"/>
        <v>5161.8799999999992</v>
      </c>
      <c r="M38" s="6">
        <f t="shared" si="5"/>
        <v>2.0323759999999997</v>
      </c>
      <c r="N38" s="5">
        <f>629.63</f>
        <v>629.63</v>
      </c>
      <c r="O38" s="4"/>
      <c r="P38" s="5">
        <f t="shared" si="6"/>
        <v>629.63</v>
      </c>
      <c r="Q38" s="6" t="str">
        <f t="shared" si="7"/>
        <v/>
      </c>
      <c r="R38" s="4"/>
      <c r="S38" s="4"/>
      <c r="T38" s="5">
        <f t="shared" si="8"/>
        <v>0</v>
      </c>
      <c r="U38" s="6" t="str">
        <f t="shared" si="9"/>
        <v/>
      </c>
      <c r="V38" s="5">
        <f t="shared" si="10"/>
        <v>10791.509999999998</v>
      </c>
      <c r="W38" s="5">
        <f t="shared" si="11"/>
        <v>5000</v>
      </c>
      <c r="X38" s="5">
        <f t="shared" si="12"/>
        <v>5791.5099999999984</v>
      </c>
      <c r="Y38" s="6">
        <f t="shared" si="13"/>
        <v>2.1583019999999995</v>
      </c>
    </row>
    <row r="39" spans="1:25" x14ac:dyDescent="0.25">
      <c r="A39" s="3" t="s">
        <v>42</v>
      </c>
      <c r="B39" s="4"/>
      <c r="C39" s="4"/>
      <c r="D39" s="5">
        <f t="shared" si="0"/>
        <v>0</v>
      </c>
      <c r="E39" s="6" t="str">
        <f t="shared" si="1"/>
        <v/>
      </c>
      <c r="F39" s="4"/>
      <c r="G39" s="4"/>
      <c r="H39" s="5">
        <f t="shared" si="2"/>
        <v>0</v>
      </c>
      <c r="I39" s="6" t="str">
        <f t="shared" si="3"/>
        <v/>
      </c>
      <c r="J39" s="4"/>
      <c r="K39" s="5">
        <f>0</f>
        <v>0</v>
      </c>
      <c r="L39" s="5">
        <f t="shared" si="4"/>
        <v>0</v>
      </c>
      <c r="M39" s="6" t="str">
        <f t="shared" si="5"/>
        <v/>
      </c>
      <c r="N39" s="4"/>
      <c r="O39" s="4"/>
      <c r="P39" s="5">
        <f t="shared" si="6"/>
        <v>0</v>
      </c>
      <c r="Q39" s="6" t="str">
        <f t="shared" si="7"/>
        <v/>
      </c>
      <c r="R39" s="4"/>
      <c r="S39" s="4"/>
      <c r="T39" s="5">
        <f t="shared" si="8"/>
        <v>0</v>
      </c>
      <c r="U39" s="6" t="str">
        <f t="shared" si="9"/>
        <v/>
      </c>
      <c r="V39" s="5">
        <f t="shared" si="10"/>
        <v>0</v>
      </c>
      <c r="W39" s="5">
        <f t="shared" si="11"/>
        <v>0</v>
      </c>
      <c r="X39" s="5">
        <f t="shared" si="12"/>
        <v>0</v>
      </c>
      <c r="Y39" s="6" t="str">
        <f t="shared" si="13"/>
        <v/>
      </c>
    </row>
    <row r="40" spans="1:25" x14ac:dyDescent="0.25">
      <c r="A40" s="3" t="s">
        <v>43</v>
      </c>
      <c r="B40" s="7">
        <f>(B38)+(B39)</f>
        <v>0</v>
      </c>
      <c r="C40" s="7">
        <f>(C38)+(C39)</f>
        <v>0</v>
      </c>
      <c r="D40" s="7">
        <f t="shared" si="0"/>
        <v>0</v>
      </c>
      <c r="E40" s="8" t="str">
        <f t="shared" si="1"/>
        <v/>
      </c>
      <c r="F40" s="7">
        <f>(F38)+(F39)</f>
        <v>0</v>
      </c>
      <c r="G40" s="7">
        <f>(G38)+(G39)</f>
        <v>0</v>
      </c>
      <c r="H40" s="7">
        <f t="shared" si="2"/>
        <v>0</v>
      </c>
      <c r="I40" s="8" t="str">
        <f t="shared" si="3"/>
        <v/>
      </c>
      <c r="J40" s="7">
        <f>(J38)+(J39)</f>
        <v>10161.879999999999</v>
      </c>
      <c r="K40" s="7">
        <f>(K38)+(K39)</f>
        <v>5000</v>
      </c>
      <c r="L40" s="7">
        <f t="shared" si="4"/>
        <v>5161.8799999999992</v>
      </c>
      <c r="M40" s="8">
        <f t="shared" si="5"/>
        <v>2.0323759999999997</v>
      </c>
      <c r="N40" s="7">
        <f>(N38)+(N39)</f>
        <v>629.63</v>
      </c>
      <c r="O40" s="7">
        <f>(O38)+(O39)</f>
        <v>0</v>
      </c>
      <c r="P40" s="7">
        <f t="shared" si="6"/>
        <v>629.63</v>
      </c>
      <c r="Q40" s="8" t="str">
        <f t="shared" si="7"/>
        <v/>
      </c>
      <c r="R40" s="7">
        <f>(R38)+(R39)</f>
        <v>0</v>
      </c>
      <c r="S40" s="7">
        <f>(S38)+(S39)</f>
        <v>0</v>
      </c>
      <c r="T40" s="7">
        <f t="shared" si="8"/>
        <v>0</v>
      </c>
      <c r="U40" s="8" t="str">
        <f t="shared" si="9"/>
        <v/>
      </c>
      <c r="V40" s="7">
        <f t="shared" si="10"/>
        <v>10791.509999999998</v>
      </c>
      <c r="W40" s="7">
        <f t="shared" si="11"/>
        <v>5000</v>
      </c>
      <c r="X40" s="7">
        <f t="shared" si="12"/>
        <v>5791.5099999999984</v>
      </c>
      <c r="Y40" s="8">
        <f t="shared" si="13"/>
        <v>2.1583019999999995</v>
      </c>
    </row>
    <row r="41" spans="1:25" x14ac:dyDescent="0.25">
      <c r="A41" s="3" t="s">
        <v>44</v>
      </c>
      <c r="B41" s="4"/>
      <c r="C41" s="4"/>
      <c r="D41" s="5">
        <f t="shared" si="0"/>
        <v>0</v>
      </c>
      <c r="E41" s="6" t="str">
        <f t="shared" si="1"/>
        <v/>
      </c>
      <c r="F41" s="4"/>
      <c r="G41" s="4"/>
      <c r="H41" s="5">
        <f t="shared" si="2"/>
        <v>0</v>
      </c>
      <c r="I41" s="6" t="str">
        <f t="shared" si="3"/>
        <v/>
      </c>
      <c r="J41" s="5">
        <f>2146.2</f>
        <v>2146.1999999999998</v>
      </c>
      <c r="K41" s="5">
        <f>5000</f>
        <v>5000</v>
      </c>
      <c r="L41" s="5">
        <f t="shared" si="4"/>
        <v>-2853.8</v>
      </c>
      <c r="M41" s="6">
        <f t="shared" si="5"/>
        <v>0.42923999999999995</v>
      </c>
      <c r="N41" s="4"/>
      <c r="O41" s="4"/>
      <c r="P41" s="5">
        <f t="shared" si="6"/>
        <v>0</v>
      </c>
      <c r="Q41" s="6" t="str">
        <f t="shared" si="7"/>
        <v/>
      </c>
      <c r="R41" s="4"/>
      <c r="S41" s="4"/>
      <c r="T41" s="5">
        <f t="shared" si="8"/>
        <v>0</v>
      </c>
      <c r="U41" s="6" t="str">
        <f t="shared" si="9"/>
        <v/>
      </c>
      <c r="V41" s="5">
        <f t="shared" si="10"/>
        <v>2146.1999999999998</v>
      </c>
      <c r="W41" s="5">
        <f t="shared" si="11"/>
        <v>5000</v>
      </c>
      <c r="X41" s="5">
        <f t="shared" si="12"/>
        <v>-2853.8</v>
      </c>
      <c r="Y41" s="6">
        <f t="shared" si="13"/>
        <v>0.42923999999999995</v>
      </c>
    </row>
    <row r="42" spans="1:25" x14ac:dyDescent="0.25">
      <c r="A42" s="3" t="s">
        <v>45</v>
      </c>
      <c r="B42" s="4"/>
      <c r="C42" s="4"/>
      <c r="D42" s="5">
        <f t="shared" si="0"/>
        <v>0</v>
      </c>
      <c r="E42" s="6" t="str">
        <f t="shared" si="1"/>
        <v/>
      </c>
      <c r="F42" s="4"/>
      <c r="G42" s="4"/>
      <c r="H42" s="5">
        <f t="shared" si="2"/>
        <v>0</v>
      </c>
      <c r="I42" s="6" t="str">
        <f t="shared" si="3"/>
        <v/>
      </c>
      <c r="J42" s="5">
        <f>305342.73</f>
        <v>305342.73</v>
      </c>
      <c r="K42" s="4"/>
      <c r="L42" s="5">
        <f t="shared" si="4"/>
        <v>305342.73</v>
      </c>
      <c r="M42" s="6" t="str">
        <f t="shared" si="5"/>
        <v/>
      </c>
      <c r="N42" s="4"/>
      <c r="O42" s="4"/>
      <c r="P42" s="5">
        <f t="shared" si="6"/>
        <v>0</v>
      </c>
      <c r="Q42" s="6" t="str">
        <f t="shared" si="7"/>
        <v/>
      </c>
      <c r="R42" s="4"/>
      <c r="S42" s="4"/>
      <c r="T42" s="5">
        <f t="shared" si="8"/>
        <v>0</v>
      </c>
      <c r="U42" s="6" t="str">
        <f t="shared" si="9"/>
        <v/>
      </c>
      <c r="V42" s="5">
        <f t="shared" si="10"/>
        <v>305342.73</v>
      </c>
      <c r="W42" s="5">
        <f t="shared" si="11"/>
        <v>0</v>
      </c>
      <c r="X42" s="5">
        <f t="shared" si="12"/>
        <v>305342.73</v>
      </c>
      <c r="Y42" s="6" t="str">
        <f t="shared" si="13"/>
        <v/>
      </c>
    </row>
    <row r="43" spans="1:25" x14ac:dyDescent="0.25">
      <c r="A43" s="3" t="s">
        <v>46</v>
      </c>
      <c r="B43" s="4"/>
      <c r="C43" s="4"/>
      <c r="D43" s="5">
        <f t="shared" si="0"/>
        <v>0</v>
      </c>
      <c r="E43" s="6" t="str">
        <f t="shared" si="1"/>
        <v/>
      </c>
      <c r="F43" s="4"/>
      <c r="G43" s="4"/>
      <c r="H43" s="5">
        <f t="shared" si="2"/>
        <v>0</v>
      </c>
      <c r="I43" s="6" t="str">
        <f t="shared" si="3"/>
        <v/>
      </c>
      <c r="J43" s="4"/>
      <c r="K43" s="4"/>
      <c r="L43" s="5">
        <f t="shared" si="4"/>
        <v>0</v>
      </c>
      <c r="M43" s="6" t="str">
        <f t="shared" si="5"/>
        <v/>
      </c>
      <c r="N43" s="4"/>
      <c r="O43" s="4"/>
      <c r="P43" s="5">
        <f t="shared" si="6"/>
        <v>0</v>
      </c>
      <c r="Q43" s="6" t="str">
        <f t="shared" si="7"/>
        <v/>
      </c>
      <c r="R43" s="4"/>
      <c r="S43" s="4"/>
      <c r="T43" s="5">
        <f t="shared" si="8"/>
        <v>0</v>
      </c>
      <c r="U43" s="6" t="str">
        <f t="shared" si="9"/>
        <v/>
      </c>
      <c r="V43" s="5">
        <f t="shared" si="10"/>
        <v>0</v>
      </c>
      <c r="W43" s="5">
        <f t="shared" si="11"/>
        <v>0</v>
      </c>
      <c r="X43" s="5">
        <f t="shared" si="12"/>
        <v>0</v>
      </c>
      <c r="Y43" s="6" t="str">
        <f t="shared" si="13"/>
        <v/>
      </c>
    </row>
    <row r="44" spans="1:25" x14ac:dyDescent="0.25">
      <c r="A44" s="3" t="s">
        <v>47</v>
      </c>
      <c r="B44" s="4"/>
      <c r="C44" s="4"/>
      <c r="D44" s="5">
        <f t="shared" si="0"/>
        <v>0</v>
      </c>
      <c r="E44" s="6" t="str">
        <f t="shared" si="1"/>
        <v/>
      </c>
      <c r="F44" s="4"/>
      <c r="G44" s="4"/>
      <c r="H44" s="5">
        <f t="shared" si="2"/>
        <v>0</v>
      </c>
      <c r="I44" s="6" t="str">
        <f t="shared" si="3"/>
        <v/>
      </c>
      <c r="J44" s="5">
        <f>0</f>
        <v>0</v>
      </c>
      <c r="K44" s="4"/>
      <c r="L44" s="5">
        <f t="shared" si="4"/>
        <v>0</v>
      </c>
      <c r="M44" s="6" t="str">
        <f t="shared" si="5"/>
        <v/>
      </c>
      <c r="N44" s="4"/>
      <c r="O44" s="4"/>
      <c r="P44" s="5">
        <f t="shared" si="6"/>
        <v>0</v>
      </c>
      <c r="Q44" s="6" t="str">
        <f t="shared" si="7"/>
        <v/>
      </c>
      <c r="R44" s="4"/>
      <c r="S44" s="4"/>
      <c r="T44" s="5">
        <f t="shared" si="8"/>
        <v>0</v>
      </c>
      <c r="U44" s="6" t="str">
        <f t="shared" si="9"/>
        <v/>
      </c>
      <c r="V44" s="5">
        <f t="shared" si="10"/>
        <v>0</v>
      </c>
      <c r="W44" s="5">
        <f t="shared" si="11"/>
        <v>0</v>
      </c>
      <c r="X44" s="5">
        <f t="shared" si="12"/>
        <v>0</v>
      </c>
      <c r="Y44" s="6" t="str">
        <f t="shared" si="13"/>
        <v/>
      </c>
    </row>
    <row r="45" spans="1:25" x14ac:dyDescent="0.25">
      <c r="A45" s="3" t="s">
        <v>48</v>
      </c>
      <c r="B45" s="7">
        <f>(B43)+(B44)</f>
        <v>0</v>
      </c>
      <c r="C45" s="7">
        <f>(C43)+(C44)</f>
        <v>0</v>
      </c>
      <c r="D45" s="7">
        <f t="shared" si="0"/>
        <v>0</v>
      </c>
      <c r="E45" s="8" t="str">
        <f t="shared" si="1"/>
        <v/>
      </c>
      <c r="F45" s="7">
        <f>(F43)+(F44)</f>
        <v>0</v>
      </c>
      <c r="G45" s="7">
        <f>(G43)+(G44)</f>
        <v>0</v>
      </c>
      <c r="H45" s="7">
        <f t="shared" si="2"/>
        <v>0</v>
      </c>
      <c r="I45" s="8" t="str">
        <f t="shared" si="3"/>
        <v/>
      </c>
      <c r="J45" s="7">
        <f>(J43)+(J44)</f>
        <v>0</v>
      </c>
      <c r="K45" s="7">
        <f>(K43)+(K44)</f>
        <v>0</v>
      </c>
      <c r="L45" s="7">
        <f t="shared" si="4"/>
        <v>0</v>
      </c>
      <c r="M45" s="8" t="str">
        <f t="shared" si="5"/>
        <v/>
      </c>
      <c r="N45" s="7">
        <f>(N43)+(N44)</f>
        <v>0</v>
      </c>
      <c r="O45" s="7">
        <f>(O43)+(O44)</f>
        <v>0</v>
      </c>
      <c r="P45" s="7">
        <f t="shared" si="6"/>
        <v>0</v>
      </c>
      <c r="Q45" s="8" t="str">
        <f t="shared" si="7"/>
        <v/>
      </c>
      <c r="R45" s="7">
        <f>(R43)+(R44)</f>
        <v>0</v>
      </c>
      <c r="S45" s="7">
        <f>(S43)+(S44)</f>
        <v>0</v>
      </c>
      <c r="T45" s="7">
        <f t="shared" si="8"/>
        <v>0</v>
      </c>
      <c r="U45" s="8" t="str">
        <f t="shared" si="9"/>
        <v/>
      </c>
      <c r="V45" s="7">
        <f t="shared" si="10"/>
        <v>0</v>
      </c>
      <c r="W45" s="7">
        <f t="shared" si="11"/>
        <v>0</v>
      </c>
      <c r="X45" s="7">
        <f t="shared" si="12"/>
        <v>0</v>
      </c>
      <c r="Y45" s="8" t="str">
        <f t="shared" si="13"/>
        <v/>
      </c>
    </row>
    <row r="46" spans="1:25" x14ac:dyDescent="0.25">
      <c r="A46" s="3" t="s">
        <v>49</v>
      </c>
      <c r="B46" s="4"/>
      <c r="C46" s="4"/>
      <c r="D46" s="5">
        <f t="shared" si="0"/>
        <v>0</v>
      </c>
      <c r="E46" s="6" t="str">
        <f t="shared" si="1"/>
        <v/>
      </c>
      <c r="F46" s="4"/>
      <c r="G46" s="4"/>
      <c r="H46" s="5">
        <f t="shared" si="2"/>
        <v>0</v>
      </c>
      <c r="I46" s="6" t="str">
        <f t="shared" si="3"/>
        <v/>
      </c>
      <c r="J46" s="5">
        <f>0</f>
        <v>0</v>
      </c>
      <c r="K46" s="4"/>
      <c r="L46" s="5">
        <f t="shared" si="4"/>
        <v>0</v>
      </c>
      <c r="M46" s="6" t="str">
        <f t="shared" si="5"/>
        <v/>
      </c>
      <c r="N46" s="4"/>
      <c r="O46" s="4"/>
      <c r="P46" s="5">
        <f t="shared" si="6"/>
        <v>0</v>
      </c>
      <c r="Q46" s="6" t="str">
        <f t="shared" si="7"/>
        <v/>
      </c>
      <c r="R46" s="4"/>
      <c r="S46" s="4"/>
      <c r="T46" s="5">
        <f t="shared" si="8"/>
        <v>0</v>
      </c>
      <c r="U46" s="6" t="str">
        <f t="shared" si="9"/>
        <v/>
      </c>
      <c r="V46" s="5">
        <f t="shared" si="10"/>
        <v>0</v>
      </c>
      <c r="W46" s="5">
        <f t="shared" si="11"/>
        <v>0</v>
      </c>
      <c r="X46" s="5">
        <f t="shared" si="12"/>
        <v>0</v>
      </c>
      <c r="Y46" s="6" t="str">
        <f t="shared" si="13"/>
        <v/>
      </c>
    </row>
    <row r="47" spans="1:25" x14ac:dyDescent="0.25">
      <c r="A47" s="3" t="s">
        <v>50</v>
      </c>
      <c r="B47" s="4"/>
      <c r="C47" s="4"/>
      <c r="D47" s="5">
        <f t="shared" si="0"/>
        <v>0</v>
      </c>
      <c r="E47" s="6" t="str">
        <f t="shared" si="1"/>
        <v/>
      </c>
      <c r="F47" s="4"/>
      <c r="G47" s="4"/>
      <c r="H47" s="5">
        <f t="shared" si="2"/>
        <v>0</v>
      </c>
      <c r="I47" s="6" t="str">
        <f t="shared" si="3"/>
        <v/>
      </c>
      <c r="J47" s="5">
        <f>0</f>
        <v>0</v>
      </c>
      <c r="K47" s="4"/>
      <c r="L47" s="5">
        <f t="shared" si="4"/>
        <v>0</v>
      </c>
      <c r="M47" s="6" t="str">
        <f t="shared" si="5"/>
        <v/>
      </c>
      <c r="N47" s="4"/>
      <c r="O47" s="4"/>
      <c r="P47" s="5">
        <f t="shared" si="6"/>
        <v>0</v>
      </c>
      <c r="Q47" s="6" t="str">
        <f t="shared" si="7"/>
        <v/>
      </c>
      <c r="R47" s="4"/>
      <c r="S47" s="4"/>
      <c r="T47" s="5">
        <f t="shared" si="8"/>
        <v>0</v>
      </c>
      <c r="U47" s="6" t="str">
        <f t="shared" si="9"/>
        <v/>
      </c>
      <c r="V47" s="5">
        <f t="shared" si="10"/>
        <v>0</v>
      </c>
      <c r="W47" s="5">
        <f t="shared" si="11"/>
        <v>0</v>
      </c>
      <c r="X47" s="5">
        <f t="shared" si="12"/>
        <v>0</v>
      </c>
      <c r="Y47" s="6" t="str">
        <f t="shared" si="13"/>
        <v/>
      </c>
    </row>
    <row r="48" spans="1:25" x14ac:dyDescent="0.25">
      <c r="A48" s="3" t="s">
        <v>51</v>
      </c>
      <c r="B48" s="4"/>
      <c r="C48" s="4"/>
      <c r="D48" s="5">
        <f t="shared" si="0"/>
        <v>0</v>
      </c>
      <c r="E48" s="6" t="str">
        <f t="shared" si="1"/>
        <v/>
      </c>
      <c r="F48" s="4"/>
      <c r="G48" s="4"/>
      <c r="H48" s="5">
        <f t="shared" si="2"/>
        <v>0</v>
      </c>
      <c r="I48" s="6" t="str">
        <f t="shared" si="3"/>
        <v/>
      </c>
      <c r="J48" s="4"/>
      <c r="K48" s="4"/>
      <c r="L48" s="5">
        <f t="shared" si="4"/>
        <v>0</v>
      </c>
      <c r="M48" s="6" t="str">
        <f t="shared" si="5"/>
        <v/>
      </c>
      <c r="N48" s="5">
        <f>10.5</f>
        <v>10.5</v>
      </c>
      <c r="O48" s="4"/>
      <c r="P48" s="5">
        <f t="shared" si="6"/>
        <v>10.5</v>
      </c>
      <c r="Q48" s="6" t="str">
        <f t="shared" si="7"/>
        <v/>
      </c>
      <c r="R48" s="4"/>
      <c r="S48" s="4"/>
      <c r="T48" s="5">
        <f t="shared" si="8"/>
        <v>0</v>
      </c>
      <c r="U48" s="6" t="str">
        <f t="shared" si="9"/>
        <v/>
      </c>
      <c r="V48" s="5">
        <f t="shared" si="10"/>
        <v>10.5</v>
      </c>
      <c r="W48" s="5">
        <f t="shared" si="11"/>
        <v>0</v>
      </c>
      <c r="X48" s="5">
        <f t="shared" si="12"/>
        <v>10.5</v>
      </c>
      <c r="Y48" s="6" t="str">
        <f t="shared" si="13"/>
        <v/>
      </c>
    </row>
    <row r="49" spans="1:25" x14ac:dyDescent="0.25">
      <c r="A49" s="3" t="s">
        <v>52</v>
      </c>
      <c r="B49" s="7">
        <f>(((((((((((((B12)+(B17))+(B26))+(B31))+(B32))+(B36))+(B37))+(B40))+(B41))+(B42))+(B45))+(B46))+(B47))+(B48)</f>
        <v>48419</v>
      </c>
      <c r="C49" s="7">
        <f>(((((((((((((C12)+(C17))+(C26))+(C31))+(C32))+(C36))+(C37))+(C40))+(C41))+(C42))+(C45))+(C46))+(C47))+(C48)</f>
        <v>41500</v>
      </c>
      <c r="D49" s="7">
        <f t="shared" si="0"/>
        <v>6919</v>
      </c>
      <c r="E49" s="8">
        <f t="shared" si="1"/>
        <v>1.1667228915662651</v>
      </c>
      <c r="F49" s="7">
        <f>(((((((((((((F12)+(F17))+(F26))+(F31))+(F32))+(F36))+(F37))+(F40))+(F41))+(F42))+(F45))+(F46))+(F47))+(F48)</f>
        <v>99719.62</v>
      </c>
      <c r="G49" s="7">
        <f>(((((((((((((G12)+(G17))+(G26))+(G31))+(G32))+(G36))+(G37))+(G40))+(G41))+(G42))+(G45))+(G46))+(G47))+(G48)</f>
        <v>85000</v>
      </c>
      <c r="H49" s="7">
        <f t="shared" si="2"/>
        <v>14719.619999999995</v>
      </c>
      <c r="I49" s="8">
        <f t="shared" si="3"/>
        <v>1.1731719999999999</v>
      </c>
      <c r="J49" s="7">
        <f>(((((((((((((J12)+(J17))+(J26))+(J31))+(J32))+(J36))+(J37))+(J40))+(J41))+(J42))+(J45))+(J46))+(J47))+(J48)</f>
        <v>449105.25</v>
      </c>
      <c r="K49" s="7">
        <f>(((((((((((((K12)+(K17))+(K26))+(K31))+(K32))+(K36))+(K37))+(K40))+(K41))+(K42))+(K45))+(K46))+(K47))+(K48)</f>
        <v>145700</v>
      </c>
      <c r="L49" s="7">
        <f t="shared" si="4"/>
        <v>303405.25</v>
      </c>
      <c r="M49" s="8">
        <f t="shared" si="5"/>
        <v>3.0823970487302677</v>
      </c>
      <c r="N49" s="7">
        <f>(((((((((((((N12)+(N17))+(N26))+(N31))+(N32))+(N36))+(N37))+(N40))+(N41))+(N42))+(N45))+(N46))+(N47))+(N48)</f>
        <v>2450049.02</v>
      </c>
      <c r="O49" s="7">
        <f>(((((((((((((O12)+(O17))+(O26))+(O31))+(O32))+(O36))+(O37))+(O40))+(O41))+(O42))+(O45))+(O46))+(O47))+(O48)</f>
        <v>2407500</v>
      </c>
      <c r="P49" s="7">
        <f t="shared" si="6"/>
        <v>42549.020000000019</v>
      </c>
      <c r="Q49" s="8">
        <f t="shared" si="7"/>
        <v>1.0176735285565939</v>
      </c>
      <c r="R49" s="7">
        <f>(((((((((((((R12)+(R17))+(R26))+(R31))+(R32))+(R36))+(R37))+(R40))+(R41))+(R42))+(R45))+(R46))+(R47))+(R48)</f>
        <v>1053.3900000000001</v>
      </c>
      <c r="S49" s="7">
        <f>(((((((((((((S12)+(S17))+(S26))+(S31))+(S32))+(S36))+(S37))+(S40))+(S41))+(S42))+(S45))+(S46))+(S47))+(S48)</f>
        <v>0</v>
      </c>
      <c r="T49" s="7">
        <f t="shared" si="8"/>
        <v>1053.3900000000001</v>
      </c>
      <c r="U49" s="8" t="str">
        <f t="shared" si="9"/>
        <v/>
      </c>
      <c r="V49" s="7">
        <f t="shared" si="10"/>
        <v>3048346.2800000003</v>
      </c>
      <c r="W49" s="7">
        <f t="shared" si="11"/>
        <v>2679700</v>
      </c>
      <c r="X49" s="7">
        <f t="shared" si="12"/>
        <v>368646.28000000026</v>
      </c>
      <c r="Y49" s="8">
        <f t="shared" si="13"/>
        <v>1.1375699817143712</v>
      </c>
    </row>
    <row r="50" spans="1:25" x14ac:dyDescent="0.25">
      <c r="A50" s="3" t="s">
        <v>53</v>
      </c>
      <c r="B50" s="7">
        <f>(B49)-(0)</f>
        <v>48419</v>
      </c>
      <c r="C50" s="7">
        <f>(C49)-(0)</f>
        <v>41500</v>
      </c>
      <c r="D50" s="7">
        <f t="shared" si="0"/>
        <v>6919</v>
      </c>
      <c r="E50" s="8">
        <f t="shared" si="1"/>
        <v>1.1667228915662651</v>
      </c>
      <c r="F50" s="7">
        <f>(F49)-(0)</f>
        <v>99719.62</v>
      </c>
      <c r="G50" s="7">
        <f>(G49)-(0)</f>
        <v>85000</v>
      </c>
      <c r="H50" s="7">
        <f t="shared" si="2"/>
        <v>14719.619999999995</v>
      </c>
      <c r="I50" s="8">
        <f t="shared" si="3"/>
        <v>1.1731719999999999</v>
      </c>
      <c r="J50" s="7">
        <f>(J49)-(0)</f>
        <v>449105.25</v>
      </c>
      <c r="K50" s="7">
        <f>(K49)-(0)</f>
        <v>145700</v>
      </c>
      <c r="L50" s="7">
        <f t="shared" si="4"/>
        <v>303405.25</v>
      </c>
      <c r="M50" s="8">
        <f t="shared" si="5"/>
        <v>3.0823970487302677</v>
      </c>
      <c r="N50" s="7">
        <f>(N49)-(0)</f>
        <v>2450049.02</v>
      </c>
      <c r="O50" s="7">
        <f>(O49)-(0)</f>
        <v>2407500</v>
      </c>
      <c r="P50" s="7">
        <f t="shared" si="6"/>
        <v>42549.020000000019</v>
      </c>
      <c r="Q50" s="8">
        <f t="shared" si="7"/>
        <v>1.0176735285565939</v>
      </c>
      <c r="R50" s="7">
        <f>(R49)-(0)</f>
        <v>1053.3900000000001</v>
      </c>
      <c r="S50" s="7">
        <f>(S49)-(0)</f>
        <v>0</v>
      </c>
      <c r="T50" s="7">
        <f t="shared" si="8"/>
        <v>1053.3900000000001</v>
      </c>
      <c r="U50" s="8" t="str">
        <f t="shared" si="9"/>
        <v/>
      </c>
      <c r="V50" s="7">
        <f t="shared" si="10"/>
        <v>3048346.2800000003</v>
      </c>
      <c r="W50" s="7">
        <f t="shared" si="11"/>
        <v>2679700</v>
      </c>
      <c r="X50" s="7">
        <f t="shared" si="12"/>
        <v>368646.28000000026</v>
      </c>
      <c r="Y50" s="8">
        <f t="shared" si="13"/>
        <v>1.1375699817143712</v>
      </c>
    </row>
    <row r="51" spans="1:25" x14ac:dyDescent="0.25">
      <c r="A51" s="3" t="s">
        <v>54</v>
      </c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</row>
    <row r="52" spans="1:25" x14ac:dyDescent="0.25">
      <c r="A52" s="3" t="s">
        <v>55</v>
      </c>
      <c r="B52" s="5">
        <f>-40</f>
        <v>-40</v>
      </c>
      <c r="C52" s="4"/>
      <c r="D52" s="5">
        <f t="shared" ref="D52:D83" si="14">(B52)-(C52)</f>
        <v>-40</v>
      </c>
      <c r="E52" s="6" t="str">
        <f t="shared" ref="E52:E83" si="15">IF(C52=0,"",(B52)/(C52))</f>
        <v/>
      </c>
      <c r="F52" s="4"/>
      <c r="G52" s="5">
        <f>5000</f>
        <v>5000</v>
      </c>
      <c r="H52" s="5">
        <f t="shared" ref="H52:H83" si="16">(F52)-(G52)</f>
        <v>-5000</v>
      </c>
      <c r="I52" s="6">
        <f t="shared" ref="I52:I83" si="17">IF(G52=0,"",(F52)/(G52))</f>
        <v>0</v>
      </c>
      <c r="J52" s="5">
        <f>40102.84</f>
        <v>40102.839999999997</v>
      </c>
      <c r="K52" s="5">
        <f>55000</f>
        <v>55000</v>
      </c>
      <c r="L52" s="5">
        <f t="shared" ref="L52:L83" si="18">(J52)-(K52)</f>
        <v>-14897.160000000003</v>
      </c>
      <c r="M52" s="6">
        <f t="shared" ref="M52:M83" si="19">IF(K52=0,"",(J52)/(K52))</f>
        <v>0.72914254545454538</v>
      </c>
      <c r="N52" s="5">
        <f>750</f>
        <v>750</v>
      </c>
      <c r="O52" s="4"/>
      <c r="P52" s="5">
        <f t="shared" ref="P52:P83" si="20">(N52)-(O52)</f>
        <v>750</v>
      </c>
      <c r="Q52" s="6" t="str">
        <f t="shared" ref="Q52:Q83" si="21">IF(O52=0,"",(N52)/(O52))</f>
        <v/>
      </c>
      <c r="R52" s="5">
        <f>111.09</f>
        <v>111.09</v>
      </c>
      <c r="S52" s="4"/>
      <c r="T52" s="5">
        <f t="shared" ref="T52:T83" si="22">(R52)-(S52)</f>
        <v>111.09</v>
      </c>
      <c r="U52" s="6" t="str">
        <f t="shared" ref="U52:U83" si="23">IF(S52=0,"",(R52)/(S52))</f>
        <v/>
      </c>
      <c r="V52" s="5">
        <f t="shared" ref="V52:V83" si="24">((((B52)+(F52))+(J52))+(N52))+(R52)</f>
        <v>40923.929999999993</v>
      </c>
      <c r="W52" s="5">
        <f t="shared" ref="W52:W83" si="25">((((C52)+(G52))+(K52))+(O52))+(S52)</f>
        <v>60000</v>
      </c>
      <c r="X52" s="5">
        <f t="shared" ref="X52:X83" si="26">(V52)-(W52)</f>
        <v>-19076.070000000007</v>
      </c>
      <c r="Y52" s="6">
        <f t="shared" ref="Y52:Y83" si="27">IF(W52=0,"",(V52)/(W52))</f>
        <v>0.68206549999999988</v>
      </c>
    </row>
    <row r="53" spans="1:25" x14ac:dyDescent="0.25">
      <c r="A53" s="3" t="s">
        <v>56</v>
      </c>
      <c r="B53" s="4"/>
      <c r="C53" s="4"/>
      <c r="D53" s="5">
        <f t="shared" si="14"/>
        <v>0</v>
      </c>
      <c r="E53" s="6" t="str">
        <f t="shared" si="15"/>
        <v/>
      </c>
      <c r="F53" s="4"/>
      <c r="G53" s="4"/>
      <c r="H53" s="5">
        <f t="shared" si="16"/>
        <v>0</v>
      </c>
      <c r="I53" s="6" t="str">
        <f t="shared" si="17"/>
        <v/>
      </c>
      <c r="J53" s="5">
        <f>371.71</f>
        <v>371.71</v>
      </c>
      <c r="K53" s="5">
        <f>6000</f>
        <v>6000</v>
      </c>
      <c r="L53" s="5">
        <f t="shared" si="18"/>
        <v>-5628.29</v>
      </c>
      <c r="M53" s="6">
        <f t="shared" si="19"/>
        <v>6.1951666666666662E-2</v>
      </c>
      <c r="N53" s="4"/>
      <c r="O53" s="4"/>
      <c r="P53" s="5">
        <f t="shared" si="20"/>
        <v>0</v>
      </c>
      <c r="Q53" s="6" t="str">
        <f t="shared" si="21"/>
        <v/>
      </c>
      <c r="R53" s="4"/>
      <c r="S53" s="4"/>
      <c r="T53" s="5">
        <f t="shared" si="22"/>
        <v>0</v>
      </c>
      <c r="U53" s="6" t="str">
        <f t="shared" si="23"/>
        <v/>
      </c>
      <c r="V53" s="5">
        <f t="shared" si="24"/>
        <v>371.71</v>
      </c>
      <c r="W53" s="5">
        <f t="shared" si="25"/>
        <v>6000</v>
      </c>
      <c r="X53" s="5">
        <f t="shared" si="26"/>
        <v>-5628.29</v>
      </c>
      <c r="Y53" s="6">
        <f t="shared" si="27"/>
        <v>6.1951666666666662E-2</v>
      </c>
    </row>
    <row r="54" spans="1:25" x14ac:dyDescent="0.25">
      <c r="A54" s="3" t="s">
        <v>57</v>
      </c>
      <c r="B54" s="4"/>
      <c r="C54" s="4"/>
      <c r="D54" s="5">
        <f t="shared" si="14"/>
        <v>0</v>
      </c>
      <c r="E54" s="6" t="str">
        <f t="shared" si="15"/>
        <v/>
      </c>
      <c r="F54" s="4"/>
      <c r="G54" s="4"/>
      <c r="H54" s="5">
        <f t="shared" si="16"/>
        <v>0</v>
      </c>
      <c r="I54" s="6" t="str">
        <f t="shared" si="17"/>
        <v/>
      </c>
      <c r="J54" s="4"/>
      <c r="K54" s="5">
        <f>57500</f>
        <v>57500</v>
      </c>
      <c r="L54" s="5">
        <f t="shared" si="18"/>
        <v>-57500</v>
      </c>
      <c r="M54" s="6">
        <f t="shared" si="19"/>
        <v>0</v>
      </c>
      <c r="N54" s="4"/>
      <c r="O54" s="4"/>
      <c r="P54" s="5">
        <f t="shared" si="20"/>
        <v>0</v>
      </c>
      <c r="Q54" s="6" t="str">
        <f t="shared" si="21"/>
        <v/>
      </c>
      <c r="R54" s="4"/>
      <c r="S54" s="4"/>
      <c r="T54" s="5">
        <f t="shared" si="22"/>
        <v>0</v>
      </c>
      <c r="U54" s="6" t="str">
        <f t="shared" si="23"/>
        <v/>
      </c>
      <c r="V54" s="5">
        <f t="shared" si="24"/>
        <v>0</v>
      </c>
      <c r="W54" s="5">
        <f t="shared" si="25"/>
        <v>57500</v>
      </c>
      <c r="X54" s="5">
        <f t="shared" si="26"/>
        <v>-57500</v>
      </c>
      <c r="Y54" s="6">
        <f t="shared" si="27"/>
        <v>0</v>
      </c>
    </row>
    <row r="55" spans="1:25" x14ac:dyDescent="0.25">
      <c r="A55" s="3" t="s">
        <v>58</v>
      </c>
      <c r="B55" s="4"/>
      <c r="C55" s="5">
        <f>2500</f>
        <v>2500</v>
      </c>
      <c r="D55" s="5">
        <f t="shared" si="14"/>
        <v>-2500</v>
      </c>
      <c r="E55" s="6">
        <f t="shared" si="15"/>
        <v>0</v>
      </c>
      <c r="F55" s="4"/>
      <c r="G55" s="4"/>
      <c r="H55" s="5">
        <f t="shared" si="16"/>
        <v>0</v>
      </c>
      <c r="I55" s="6" t="str">
        <f t="shared" si="17"/>
        <v/>
      </c>
      <c r="J55" s="5">
        <f>10000</f>
        <v>10000</v>
      </c>
      <c r="K55" s="5">
        <f>15000</f>
        <v>15000</v>
      </c>
      <c r="L55" s="5">
        <f t="shared" si="18"/>
        <v>-5000</v>
      </c>
      <c r="M55" s="6">
        <f t="shared" si="19"/>
        <v>0.66666666666666663</v>
      </c>
      <c r="N55" s="4"/>
      <c r="O55" s="4"/>
      <c r="P55" s="5">
        <f t="shared" si="20"/>
        <v>0</v>
      </c>
      <c r="Q55" s="6" t="str">
        <f t="shared" si="21"/>
        <v/>
      </c>
      <c r="R55" s="4"/>
      <c r="S55" s="4"/>
      <c r="T55" s="5">
        <f t="shared" si="22"/>
        <v>0</v>
      </c>
      <c r="U55" s="6" t="str">
        <f t="shared" si="23"/>
        <v/>
      </c>
      <c r="V55" s="5">
        <f t="shared" si="24"/>
        <v>10000</v>
      </c>
      <c r="W55" s="5">
        <f t="shared" si="25"/>
        <v>17500</v>
      </c>
      <c r="X55" s="5">
        <f t="shared" si="26"/>
        <v>-7500</v>
      </c>
      <c r="Y55" s="6">
        <f t="shared" si="27"/>
        <v>0.5714285714285714</v>
      </c>
    </row>
    <row r="56" spans="1:25" x14ac:dyDescent="0.25">
      <c r="A56" s="3" t="s">
        <v>59</v>
      </c>
      <c r="B56" s="4"/>
      <c r="C56" s="4"/>
      <c r="D56" s="5">
        <f t="shared" si="14"/>
        <v>0</v>
      </c>
      <c r="E56" s="6" t="str">
        <f t="shared" si="15"/>
        <v/>
      </c>
      <c r="F56" s="5">
        <f>163</f>
        <v>163</v>
      </c>
      <c r="G56" s="4"/>
      <c r="H56" s="5">
        <f t="shared" si="16"/>
        <v>163</v>
      </c>
      <c r="I56" s="6" t="str">
        <f t="shared" si="17"/>
        <v/>
      </c>
      <c r="J56" s="5">
        <f>18507.74</f>
        <v>18507.740000000002</v>
      </c>
      <c r="K56" s="5">
        <f>9500</f>
        <v>9500</v>
      </c>
      <c r="L56" s="5">
        <f t="shared" si="18"/>
        <v>9007.7400000000016</v>
      </c>
      <c r="M56" s="6">
        <f t="shared" si="19"/>
        <v>1.9481831578947371</v>
      </c>
      <c r="N56" s="4"/>
      <c r="O56" s="5">
        <f>1500</f>
        <v>1500</v>
      </c>
      <c r="P56" s="5">
        <f t="shared" si="20"/>
        <v>-1500</v>
      </c>
      <c r="Q56" s="6">
        <f t="shared" si="21"/>
        <v>0</v>
      </c>
      <c r="R56" s="4"/>
      <c r="S56" s="4"/>
      <c r="T56" s="5">
        <f t="shared" si="22"/>
        <v>0</v>
      </c>
      <c r="U56" s="6" t="str">
        <f t="shared" si="23"/>
        <v/>
      </c>
      <c r="V56" s="5">
        <f t="shared" si="24"/>
        <v>18670.740000000002</v>
      </c>
      <c r="W56" s="5">
        <f t="shared" si="25"/>
        <v>11000</v>
      </c>
      <c r="X56" s="5">
        <f t="shared" si="26"/>
        <v>7670.7400000000016</v>
      </c>
      <c r="Y56" s="6">
        <f t="shared" si="27"/>
        <v>1.6973400000000001</v>
      </c>
    </row>
    <row r="57" spans="1:25" x14ac:dyDescent="0.25">
      <c r="A57" s="3" t="s">
        <v>60</v>
      </c>
      <c r="B57" s="4"/>
      <c r="C57" s="4"/>
      <c r="D57" s="5">
        <f t="shared" si="14"/>
        <v>0</v>
      </c>
      <c r="E57" s="6" t="str">
        <f t="shared" si="15"/>
        <v/>
      </c>
      <c r="F57" s="4"/>
      <c r="G57" s="4"/>
      <c r="H57" s="5">
        <f t="shared" si="16"/>
        <v>0</v>
      </c>
      <c r="I57" s="6" t="str">
        <f t="shared" si="17"/>
        <v/>
      </c>
      <c r="J57" s="5">
        <f>9945.89</f>
        <v>9945.89</v>
      </c>
      <c r="K57" s="5">
        <f>3000</f>
        <v>3000</v>
      </c>
      <c r="L57" s="5">
        <f t="shared" si="18"/>
        <v>6945.8899999999994</v>
      </c>
      <c r="M57" s="6">
        <f t="shared" si="19"/>
        <v>3.3152966666666663</v>
      </c>
      <c r="N57" s="4"/>
      <c r="O57" s="4"/>
      <c r="P57" s="5">
        <f t="shared" si="20"/>
        <v>0</v>
      </c>
      <c r="Q57" s="6" t="str">
        <f t="shared" si="21"/>
        <v/>
      </c>
      <c r="R57" s="4"/>
      <c r="S57" s="4"/>
      <c r="T57" s="5">
        <f t="shared" si="22"/>
        <v>0</v>
      </c>
      <c r="U57" s="6" t="str">
        <f t="shared" si="23"/>
        <v/>
      </c>
      <c r="V57" s="5">
        <f t="shared" si="24"/>
        <v>9945.89</v>
      </c>
      <c r="W57" s="5">
        <f t="shared" si="25"/>
        <v>3000</v>
      </c>
      <c r="X57" s="5">
        <f t="shared" si="26"/>
        <v>6945.8899999999994</v>
      </c>
      <c r="Y57" s="6">
        <f t="shared" si="27"/>
        <v>3.3152966666666663</v>
      </c>
    </row>
    <row r="58" spans="1:25" x14ac:dyDescent="0.25">
      <c r="A58" s="3" t="s">
        <v>61</v>
      </c>
      <c r="B58" s="4"/>
      <c r="C58" s="4"/>
      <c r="D58" s="5">
        <f t="shared" si="14"/>
        <v>0</v>
      </c>
      <c r="E58" s="6" t="str">
        <f t="shared" si="15"/>
        <v/>
      </c>
      <c r="F58" s="4"/>
      <c r="G58" s="4"/>
      <c r="H58" s="5">
        <f t="shared" si="16"/>
        <v>0</v>
      </c>
      <c r="I58" s="6" t="str">
        <f t="shared" si="17"/>
        <v/>
      </c>
      <c r="J58" s="5">
        <f>4535.93</f>
        <v>4535.93</v>
      </c>
      <c r="K58" s="5">
        <f>10500</f>
        <v>10500</v>
      </c>
      <c r="L58" s="5">
        <f t="shared" si="18"/>
        <v>-5964.07</v>
      </c>
      <c r="M58" s="6">
        <f t="shared" si="19"/>
        <v>0.43199333333333334</v>
      </c>
      <c r="N58" s="4"/>
      <c r="O58" s="4"/>
      <c r="P58" s="5">
        <f t="shared" si="20"/>
        <v>0</v>
      </c>
      <c r="Q58" s="6" t="str">
        <f t="shared" si="21"/>
        <v/>
      </c>
      <c r="R58" s="4"/>
      <c r="S58" s="4"/>
      <c r="T58" s="5">
        <f t="shared" si="22"/>
        <v>0</v>
      </c>
      <c r="U58" s="6" t="str">
        <f t="shared" si="23"/>
        <v/>
      </c>
      <c r="V58" s="5">
        <f t="shared" si="24"/>
        <v>4535.93</v>
      </c>
      <c r="W58" s="5">
        <f t="shared" si="25"/>
        <v>10500</v>
      </c>
      <c r="X58" s="5">
        <f t="shared" si="26"/>
        <v>-5964.07</v>
      </c>
      <c r="Y58" s="6">
        <f t="shared" si="27"/>
        <v>0.43199333333333334</v>
      </c>
    </row>
    <row r="59" spans="1:25" x14ac:dyDescent="0.25">
      <c r="A59" s="3" t="s">
        <v>62</v>
      </c>
      <c r="B59" s="4"/>
      <c r="C59" s="4"/>
      <c r="D59" s="5">
        <f t="shared" si="14"/>
        <v>0</v>
      </c>
      <c r="E59" s="6" t="str">
        <f t="shared" si="15"/>
        <v/>
      </c>
      <c r="F59" s="4"/>
      <c r="G59" s="4"/>
      <c r="H59" s="5">
        <f t="shared" si="16"/>
        <v>0</v>
      </c>
      <c r="I59" s="6" t="str">
        <f t="shared" si="17"/>
        <v/>
      </c>
      <c r="J59" s="5">
        <f>19877.74</f>
        <v>19877.740000000002</v>
      </c>
      <c r="K59" s="5">
        <f>22000</f>
        <v>22000</v>
      </c>
      <c r="L59" s="5">
        <f t="shared" si="18"/>
        <v>-2122.2599999999984</v>
      </c>
      <c r="M59" s="6">
        <f t="shared" si="19"/>
        <v>0.90353363636363648</v>
      </c>
      <c r="N59" s="4"/>
      <c r="O59" s="4"/>
      <c r="P59" s="5">
        <f t="shared" si="20"/>
        <v>0</v>
      </c>
      <c r="Q59" s="6" t="str">
        <f t="shared" si="21"/>
        <v/>
      </c>
      <c r="R59" s="4"/>
      <c r="S59" s="4"/>
      <c r="T59" s="5">
        <f t="shared" si="22"/>
        <v>0</v>
      </c>
      <c r="U59" s="6" t="str">
        <f t="shared" si="23"/>
        <v/>
      </c>
      <c r="V59" s="5">
        <f t="shared" si="24"/>
        <v>19877.740000000002</v>
      </c>
      <c r="W59" s="5">
        <f t="shared" si="25"/>
        <v>22000</v>
      </c>
      <c r="X59" s="5">
        <f t="shared" si="26"/>
        <v>-2122.2599999999984</v>
      </c>
      <c r="Y59" s="6">
        <f t="shared" si="27"/>
        <v>0.90353363636363648</v>
      </c>
    </row>
    <row r="60" spans="1:25" x14ac:dyDescent="0.25">
      <c r="A60" s="3" t="s">
        <v>63</v>
      </c>
      <c r="B60" s="4"/>
      <c r="C60" s="4"/>
      <c r="D60" s="5">
        <f t="shared" si="14"/>
        <v>0</v>
      </c>
      <c r="E60" s="6" t="str">
        <f t="shared" si="15"/>
        <v/>
      </c>
      <c r="F60" s="5">
        <f>1927.88</f>
        <v>1927.88</v>
      </c>
      <c r="G60" s="4"/>
      <c r="H60" s="5">
        <f t="shared" si="16"/>
        <v>1927.88</v>
      </c>
      <c r="I60" s="6" t="str">
        <f t="shared" si="17"/>
        <v/>
      </c>
      <c r="J60" s="4"/>
      <c r="K60" s="4"/>
      <c r="L60" s="5">
        <f t="shared" si="18"/>
        <v>0</v>
      </c>
      <c r="M60" s="6" t="str">
        <f t="shared" si="19"/>
        <v/>
      </c>
      <c r="N60" s="4"/>
      <c r="O60" s="4"/>
      <c r="P60" s="5">
        <f t="shared" si="20"/>
        <v>0</v>
      </c>
      <c r="Q60" s="6" t="str">
        <f t="shared" si="21"/>
        <v/>
      </c>
      <c r="R60" s="4"/>
      <c r="S60" s="4"/>
      <c r="T60" s="5">
        <f t="shared" si="22"/>
        <v>0</v>
      </c>
      <c r="U60" s="6" t="str">
        <f t="shared" si="23"/>
        <v/>
      </c>
      <c r="V60" s="5">
        <f t="shared" si="24"/>
        <v>1927.88</v>
      </c>
      <c r="W60" s="5">
        <f t="shared" si="25"/>
        <v>0</v>
      </c>
      <c r="X60" s="5">
        <f t="shared" si="26"/>
        <v>1927.88</v>
      </c>
      <c r="Y60" s="6" t="str">
        <f t="shared" si="27"/>
        <v/>
      </c>
    </row>
    <row r="61" spans="1:25" x14ac:dyDescent="0.25">
      <c r="A61" s="3" t="s">
        <v>64</v>
      </c>
      <c r="B61" s="4"/>
      <c r="C61" s="4"/>
      <c r="D61" s="5">
        <f t="shared" si="14"/>
        <v>0</v>
      </c>
      <c r="E61" s="6" t="str">
        <f t="shared" si="15"/>
        <v/>
      </c>
      <c r="F61" s="4"/>
      <c r="G61" s="4"/>
      <c r="H61" s="5">
        <f t="shared" si="16"/>
        <v>0</v>
      </c>
      <c r="I61" s="6" t="str">
        <f t="shared" si="17"/>
        <v/>
      </c>
      <c r="J61" s="5">
        <f>6795.45</f>
        <v>6795.45</v>
      </c>
      <c r="K61" s="4"/>
      <c r="L61" s="5">
        <f t="shared" si="18"/>
        <v>6795.45</v>
      </c>
      <c r="M61" s="6" t="str">
        <f t="shared" si="19"/>
        <v/>
      </c>
      <c r="N61" s="4"/>
      <c r="O61" s="4"/>
      <c r="P61" s="5">
        <f t="shared" si="20"/>
        <v>0</v>
      </c>
      <c r="Q61" s="6" t="str">
        <f t="shared" si="21"/>
        <v/>
      </c>
      <c r="R61" s="4"/>
      <c r="S61" s="4"/>
      <c r="T61" s="5">
        <f t="shared" si="22"/>
        <v>0</v>
      </c>
      <c r="U61" s="6" t="str">
        <f t="shared" si="23"/>
        <v/>
      </c>
      <c r="V61" s="5">
        <f t="shared" si="24"/>
        <v>6795.45</v>
      </c>
      <c r="W61" s="5">
        <f t="shared" si="25"/>
        <v>0</v>
      </c>
      <c r="X61" s="5">
        <f t="shared" si="26"/>
        <v>6795.45</v>
      </c>
      <c r="Y61" s="6" t="str">
        <f t="shared" si="27"/>
        <v/>
      </c>
    </row>
    <row r="62" spans="1:25" x14ac:dyDescent="0.25">
      <c r="A62" s="3" t="s">
        <v>65</v>
      </c>
      <c r="B62" s="4"/>
      <c r="C62" s="5">
        <f>1000</f>
        <v>1000</v>
      </c>
      <c r="D62" s="5">
        <f t="shared" si="14"/>
        <v>-1000</v>
      </c>
      <c r="E62" s="6">
        <f t="shared" si="15"/>
        <v>0</v>
      </c>
      <c r="F62" s="5">
        <f>1874.99</f>
        <v>1874.99</v>
      </c>
      <c r="G62" s="5">
        <f>1500</f>
        <v>1500</v>
      </c>
      <c r="H62" s="5">
        <f t="shared" si="16"/>
        <v>374.99</v>
      </c>
      <c r="I62" s="6">
        <f t="shared" si="17"/>
        <v>1.2499933333333333</v>
      </c>
      <c r="J62" s="5">
        <f>1569.54</f>
        <v>1569.54</v>
      </c>
      <c r="K62" s="5">
        <f>5000</f>
        <v>5000</v>
      </c>
      <c r="L62" s="5">
        <f t="shared" si="18"/>
        <v>-3430.46</v>
      </c>
      <c r="M62" s="6">
        <f t="shared" si="19"/>
        <v>0.31390800000000002</v>
      </c>
      <c r="N62" s="5">
        <f>133.94</f>
        <v>133.94</v>
      </c>
      <c r="O62" s="5">
        <f>1000</f>
        <v>1000</v>
      </c>
      <c r="P62" s="5">
        <f t="shared" si="20"/>
        <v>-866.06</v>
      </c>
      <c r="Q62" s="6">
        <f t="shared" si="21"/>
        <v>0.13394</v>
      </c>
      <c r="R62" s="4"/>
      <c r="S62" s="4"/>
      <c r="T62" s="5">
        <f t="shared" si="22"/>
        <v>0</v>
      </c>
      <c r="U62" s="6" t="str">
        <f t="shared" si="23"/>
        <v/>
      </c>
      <c r="V62" s="5">
        <f t="shared" si="24"/>
        <v>3578.47</v>
      </c>
      <c r="W62" s="5">
        <f t="shared" si="25"/>
        <v>8500</v>
      </c>
      <c r="X62" s="5">
        <f t="shared" si="26"/>
        <v>-4921.5300000000007</v>
      </c>
      <c r="Y62" s="6">
        <f t="shared" si="27"/>
        <v>0.42099647058823525</v>
      </c>
    </row>
    <row r="63" spans="1:25" x14ac:dyDescent="0.25">
      <c r="A63" s="3" t="s">
        <v>66</v>
      </c>
      <c r="B63" s="4"/>
      <c r="C63" s="4"/>
      <c r="D63" s="5">
        <f t="shared" si="14"/>
        <v>0</v>
      </c>
      <c r="E63" s="6" t="str">
        <f t="shared" si="15"/>
        <v/>
      </c>
      <c r="F63" s="4"/>
      <c r="G63" s="4"/>
      <c r="H63" s="5">
        <f t="shared" si="16"/>
        <v>0</v>
      </c>
      <c r="I63" s="6" t="str">
        <f t="shared" si="17"/>
        <v/>
      </c>
      <c r="J63" s="5">
        <f>6922.38</f>
        <v>6922.38</v>
      </c>
      <c r="K63" s="5">
        <f>17000</f>
        <v>17000</v>
      </c>
      <c r="L63" s="5">
        <f t="shared" si="18"/>
        <v>-10077.619999999999</v>
      </c>
      <c r="M63" s="6">
        <f t="shared" si="19"/>
        <v>0.40719882352941178</v>
      </c>
      <c r="N63" s="4"/>
      <c r="O63" s="4"/>
      <c r="P63" s="5">
        <f t="shared" si="20"/>
        <v>0</v>
      </c>
      <c r="Q63" s="6" t="str">
        <f t="shared" si="21"/>
        <v/>
      </c>
      <c r="R63" s="4"/>
      <c r="S63" s="4"/>
      <c r="T63" s="5">
        <f t="shared" si="22"/>
        <v>0</v>
      </c>
      <c r="U63" s="6" t="str">
        <f t="shared" si="23"/>
        <v/>
      </c>
      <c r="V63" s="5">
        <f t="shared" si="24"/>
        <v>6922.38</v>
      </c>
      <c r="W63" s="5">
        <f t="shared" si="25"/>
        <v>17000</v>
      </c>
      <c r="X63" s="5">
        <f t="shared" si="26"/>
        <v>-10077.619999999999</v>
      </c>
      <c r="Y63" s="6">
        <f t="shared" si="27"/>
        <v>0.40719882352941178</v>
      </c>
    </row>
    <row r="64" spans="1:25" x14ac:dyDescent="0.25">
      <c r="A64" s="3" t="s">
        <v>67</v>
      </c>
      <c r="B64" s="4"/>
      <c r="C64" s="5">
        <f>15000</f>
        <v>15000</v>
      </c>
      <c r="D64" s="5">
        <f t="shared" si="14"/>
        <v>-15000</v>
      </c>
      <c r="E64" s="6">
        <f t="shared" si="15"/>
        <v>0</v>
      </c>
      <c r="F64" s="4"/>
      <c r="G64" s="5">
        <f>5000</f>
        <v>5000</v>
      </c>
      <c r="H64" s="5">
        <f t="shared" si="16"/>
        <v>-5000</v>
      </c>
      <c r="I64" s="6">
        <f t="shared" si="17"/>
        <v>0</v>
      </c>
      <c r="J64" s="5">
        <f>6223</f>
        <v>6223</v>
      </c>
      <c r="K64" s="5">
        <f>15800</f>
        <v>15800</v>
      </c>
      <c r="L64" s="5">
        <f t="shared" si="18"/>
        <v>-9577</v>
      </c>
      <c r="M64" s="6">
        <f t="shared" si="19"/>
        <v>0.39386075949367089</v>
      </c>
      <c r="N64" s="4"/>
      <c r="O64" s="5">
        <f>8500</f>
        <v>8500</v>
      </c>
      <c r="P64" s="5">
        <f t="shared" si="20"/>
        <v>-8500</v>
      </c>
      <c r="Q64" s="6">
        <f t="shared" si="21"/>
        <v>0</v>
      </c>
      <c r="R64" s="4"/>
      <c r="S64" s="4"/>
      <c r="T64" s="5">
        <f t="shared" si="22"/>
        <v>0</v>
      </c>
      <c r="U64" s="6" t="str">
        <f t="shared" si="23"/>
        <v/>
      </c>
      <c r="V64" s="5">
        <f t="shared" si="24"/>
        <v>6223</v>
      </c>
      <c r="W64" s="5">
        <f t="shared" si="25"/>
        <v>44300</v>
      </c>
      <c r="X64" s="5">
        <f t="shared" si="26"/>
        <v>-38077</v>
      </c>
      <c r="Y64" s="6">
        <f t="shared" si="27"/>
        <v>0.14047404063205418</v>
      </c>
    </row>
    <row r="65" spans="1:25" x14ac:dyDescent="0.25">
      <c r="A65" s="3" t="s">
        <v>68</v>
      </c>
      <c r="B65" s="4"/>
      <c r="C65" s="5">
        <f>1500</f>
        <v>1500</v>
      </c>
      <c r="D65" s="5">
        <f t="shared" si="14"/>
        <v>-1500</v>
      </c>
      <c r="E65" s="6">
        <f t="shared" si="15"/>
        <v>0</v>
      </c>
      <c r="F65" s="4"/>
      <c r="G65" s="5">
        <f>1500</f>
        <v>1500</v>
      </c>
      <c r="H65" s="5">
        <f t="shared" si="16"/>
        <v>-1500</v>
      </c>
      <c r="I65" s="6">
        <f t="shared" si="17"/>
        <v>0</v>
      </c>
      <c r="J65" s="5">
        <f>317.28</f>
        <v>317.27999999999997</v>
      </c>
      <c r="K65" s="5">
        <f>2000</f>
        <v>2000</v>
      </c>
      <c r="L65" s="5">
        <f t="shared" si="18"/>
        <v>-1682.72</v>
      </c>
      <c r="M65" s="6">
        <f t="shared" si="19"/>
        <v>0.15863999999999998</v>
      </c>
      <c r="N65" s="5">
        <f>154.5</f>
        <v>154.5</v>
      </c>
      <c r="O65" s="4"/>
      <c r="P65" s="5">
        <f t="shared" si="20"/>
        <v>154.5</v>
      </c>
      <c r="Q65" s="6" t="str">
        <f t="shared" si="21"/>
        <v/>
      </c>
      <c r="R65" s="4"/>
      <c r="S65" s="4"/>
      <c r="T65" s="5">
        <f t="shared" si="22"/>
        <v>0</v>
      </c>
      <c r="U65" s="6" t="str">
        <f t="shared" si="23"/>
        <v/>
      </c>
      <c r="V65" s="5">
        <f t="shared" si="24"/>
        <v>471.78</v>
      </c>
      <c r="W65" s="5">
        <f t="shared" si="25"/>
        <v>5000</v>
      </c>
      <c r="X65" s="5">
        <f t="shared" si="26"/>
        <v>-4528.22</v>
      </c>
      <c r="Y65" s="6">
        <f t="shared" si="27"/>
        <v>9.4355999999999995E-2</v>
      </c>
    </row>
    <row r="66" spans="1:25" x14ac:dyDescent="0.25">
      <c r="A66" s="3" t="s">
        <v>69</v>
      </c>
      <c r="B66" s="4"/>
      <c r="C66" s="4"/>
      <c r="D66" s="5">
        <f t="shared" si="14"/>
        <v>0</v>
      </c>
      <c r="E66" s="6" t="str">
        <f t="shared" si="15"/>
        <v/>
      </c>
      <c r="F66" s="4"/>
      <c r="G66" s="4"/>
      <c r="H66" s="5">
        <f t="shared" si="16"/>
        <v>0</v>
      </c>
      <c r="I66" s="6" t="str">
        <f t="shared" si="17"/>
        <v/>
      </c>
      <c r="J66" s="5">
        <f>927.35</f>
        <v>927.35</v>
      </c>
      <c r="K66" s="5">
        <f>3500</f>
        <v>3500</v>
      </c>
      <c r="L66" s="5">
        <f t="shared" si="18"/>
        <v>-2572.65</v>
      </c>
      <c r="M66" s="6">
        <f t="shared" si="19"/>
        <v>0.26495714285714289</v>
      </c>
      <c r="N66" s="4"/>
      <c r="O66" s="4"/>
      <c r="P66" s="5">
        <f t="shared" si="20"/>
        <v>0</v>
      </c>
      <c r="Q66" s="6" t="str">
        <f t="shared" si="21"/>
        <v/>
      </c>
      <c r="R66" s="4"/>
      <c r="S66" s="4"/>
      <c r="T66" s="5">
        <f t="shared" si="22"/>
        <v>0</v>
      </c>
      <c r="U66" s="6" t="str">
        <f t="shared" si="23"/>
        <v/>
      </c>
      <c r="V66" s="5">
        <f t="shared" si="24"/>
        <v>927.35</v>
      </c>
      <c r="W66" s="5">
        <f t="shared" si="25"/>
        <v>3500</v>
      </c>
      <c r="X66" s="5">
        <f t="shared" si="26"/>
        <v>-2572.65</v>
      </c>
      <c r="Y66" s="6">
        <f t="shared" si="27"/>
        <v>0.26495714285714289</v>
      </c>
    </row>
    <row r="67" spans="1:25" x14ac:dyDescent="0.25">
      <c r="A67" s="3" t="s">
        <v>70</v>
      </c>
      <c r="B67" s="5">
        <f>706.16</f>
        <v>706.16</v>
      </c>
      <c r="C67" s="5">
        <f>1000</f>
        <v>1000</v>
      </c>
      <c r="D67" s="5">
        <f t="shared" si="14"/>
        <v>-293.84000000000003</v>
      </c>
      <c r="E67" s="6">
        <f t="shared" si="15"/>
        <v>0.70616000000000001</v>
      </c>
      <c r="F67" s="5">
        <f>2828</f>
        <v>2828</v>
      </c>
      <c r="G67" s="5">
        <f>2000</f>
        <v>2000</v>
      </c>
      <c r="H67" s="5">
        <f t="shared" si="16"/>
        <v>828</v>
      </c>
      <c r="I67" s="6">
        <f t="shared" si="17"/>
        <v>1.4139999999999999</v>
      </c>
      <c r="J67" s="5">
        <f>470.19</f>
        <v>470.19</v>
      </c>
      <c r="K67" s="5">
        <f>3000</f>
        <v>3000</v>
      </c>
      <c r="L67" s="5">
        <f t="shared" si="18"/>
        <v>-2529.81</v>
      </c>
      <c r="M67" s="6">
        <f t="shared" si="19"/>
        <v>0.15673000000000001</v>
      </c>
      <c r="N67" s="5">
        <f>7473.2</f>
        <v>7473.2</v>
      </c>
      <c r="O67" s="5">
        <f>7500</f>
        <v>7500</v>
      </c>
      <c r="P67" s="5">
        <f t="shared" si="20"/>
        <v>-26.800000000000182</v>
      </c>
      <c r="Q67" s="6">
        <f t="shared" si="21"/>
        <v>0.99642666666666668</v>
      </c>
      <c r="R67" s="4"/>
      <c r="S67" s="4"/>
      <c r="T67" s="5">
        <f t="shared" si="22"/>
        <v>0</v>
      </c>
      <c r="U67" s="6" t="str">
        <f t="shared" si="23"/>
        <v/>
      </c>
      <c r="V67" s="5">
        <f t="shared" si="24"/>
        <v>11477.55</v>
      </c>
      <c r="W67" s="5">
        <f t="shared" si="25"/>
        <v>13500</v>
      </c>
      <c r="X67" s="5">
        <f t="shared" si="26"/>
        <v>-2022.4500000000007</v>
      </c>
      <c r="Y67" s="6">
        <f t="shared" si="27"/>
        <v>0.85018888888888888</v>
      </c>
    </row>
    <row r="68" spans="1:25" x14ac:dyDescent="0.25">
      <c r="A68" s="3" t="s">
        <v>71</v>
      </c>
      <c r="B68" s="5">
        <f>10228.17</f>
        <v>10228.17</v>
      </c>
      <c r="C68" s="5">
        <f>1500</f>
        <v>1500</v>
      </c>
      <c r="D68" s="5">
        <f t="shared" si="14"/>
        <v>8728.17</v>
      </c>
      <c r="E68" s="6">
        <f t="shared" si="15"/>
        <v>6.8187800000000003</v>
      </c>
      <c r="F68" s="5">
        <f>1599.13</f>
        <v>1599.13</v>
      </c>
      <c r="G68" s="5">
        <f>2500</f>
        <v>2500</v>
      </c>
      <c r="H68" s="5">
        <f t="shared" si="16"/>
        <v>-900.86999999999989</v>
      </c>
      <c r="I68" s="6">
        <f t="shared" si="17"/>
        <v>0.639652</v>
      </c>
      <c r="J68" s="5">
        <f>422.9</f>
        <v>422.9</v>
      </c>
      <c r="K68" s="5">
        <f>1500</f>
        <v>1500</v>
      </c>
      <c r="L68" s="5">
        <f t="shared" si="18"/>
        <v>-1077.0999999999999</v>
      </c>
      <c r="M68" s="6">
        <f t="shared" si="19"/>
        <v>0.28193333333333331</v>
      </c>
      <c r="N68" s="5">
        <f>9440.14</f>
        <v>9440.14</v>
      </c>
      <c r="O68" s="5">
        <f>12000</f>
        <v>12000</v>
      </c>
      <c r="P68" s="5">
        <f t="shared" si="20"/>
        <v>-2559.8600000000006</v>
      </c>
      <c r="Q68" s="6">
        <f t="shared" si="21"/>
        <v>0.78667833333333326</v>
      </c>
      <c r="R68" s="4"/>
      <c r="S68" s="4"/>
      <c r="T68" s="5">
        <f t="shared" si="22"/>
        <v>0</v>
      </c>
      <c r="U68" s="6" t="str">
        <f t="shared" si="23"/>
        <v/>
      </c>
      <c r="V68" s="5">
        <f t="shared" si="24"/>
        <v>21690.339999999997</v>
      </c>
      <c r="W68" s="5">
        <f t="shared" si="25"/>
        <v>17500</v>
      </c>
      <c r="X68" s="5">
        <f t="shared" si="26"/>
        <v>4190.3399999999965</v>
      </c>
      <c r="Y68" s="6">
        <f t="shared" si="27"/>
        <v>1.2394479999999999</v>
      </c>
    </row>
    <row r="69" spans="1:25" x14ac:dyDescent="0.25">
      <c r="A69" s="3" t="s">
        <v>72</v>
      </c>
      <c r="B69" s="4"/>
      <c r="C69" s="5">
        <f>1500</f>
        <v>1500</v>
      </c>
      <c r="D69" s="5">
        <f t="shared" si="14"/>
        <v>-1500</v>
      </c>
      <c r="E69" s="6">
        <f t="shared" si="15"/>
        <v>0</v>
      </c>
      <c r="F69" s="5">
        <f>536.39</f>
        <v>536.39</v>
      </c>
      <c r="G69" s="5">
        <f>5000</f>
        <v>5000</v>
      </c>
      <c r="H69" s="5">
        <f t="shared" si="16"/>
        <v>-4463.6099999999997</v>
      </c>
      <c r="I69" s="6">
        <f t="shared" si="17"/>
        <v>0.107278</v>
      </c>
      <c r="J69" s="5">
        <f>804.65</f>
        <v>804.65</v>
      </c>
      <c r="K69" s="5">
        <f>7500</f>
        <v>7500</v>
      </c>
      <c r="L69" s="5">
        <f t="shared" si="18"/>
        <v>-6695.35</v>
      </c>
      <c r="M69" s="6">
        <f t="shared" si="19"/>
        <v>0.10728666666666667</v>
      </c>
      <c r="N69" s="4"/>
      <c r="O69" s="4"/>
      <c r="P69" s="5">
        <f t="shared" si="20"/>
        <v>0</v>
      </c>
      <c r="Q69" s="6" t="str">
        <f t="shared" si="21"/>
        <v/>
      </c>
      <c r="R69" s="4"/>
      <c r="S69" s="4"/>
      <c r="T69" s="5">
        <f t="shared" si="22"/>
        <v>0</v>
      </c>
      <c r="U69" s="6" t="str">
        <f t="shared" si="23"/>
        <v/>
      </c>
      <c r="V69" s="5">
        <f t="shared" si="24"/>
        <v>1341.04</v>
      </c>
      <c r="W69" s="5">
        <f t="shared" si="25"/>
        <v>14000</v>
      </c>
      <c r="X69" s="5">
        <f t="shared" si="26"/>
        <v>-12658.96</v>
      </c>
      <c r="Y69" s="6">
        <f t="shared" si="27"/>
        <v>9.5788571428571431E-2</v>
      </c>
    </row>
    <row r="70" spans="1:25" x14ac:dyDescent="0.25">
      <c r="A70" s="3" t="s">
        <v>73</v>
      </c>
      <c r="B70" s="4"/>
      <c r="C70" s="4"/>
      <c r="D70" s="5">
        <f t="shared" si="14"/>
        <v>0</v>
      </c>
      <c r="E70" s="6" t="str">
        <f t="shared" si="15"/>
        <v/>
      </c>
      <c r="F70" s="4"/>
      <c r="G70" s="4"/>
      <c r="H70" s="5">
        <f t="shared" si="16"/>
        <v>0</v>
      </c>
      <c r="I70" s="6" t="str">
        <f t="shared" si="17"/>
        <v/>
      </c>
      <c r="J70" s="5">
        <f>94463.29</f>
        <v>94463.29</v>
      </c>
      <c r="K70" s="5">
        <f>112000</f>
        <v>112000</v>
      </c>
      <c r="L70" s="5">
        <f t="shared" si="18"/>
        <v>-17536.710000000006</v>
      </c>
      <c r="M70" s="6">
        <f t="shared" si="19"/>
        <v>0.84342223214285705</v>
      </c>
      <c r="N70" s="4"/>
      <c r="O70" s="4"/>
      <c r="P70" s="5">
        <f t="shared" si="20"/>
        <v>0</v>
      </c>
      <c r="Q70" s="6" t="str">
        <f t="shared" si="21"/>
        <v/>
      </c>
      <c r="R70" s="4"/>
      <c r="S70" s="4"/>
      <c r="T70" s="5">
        <f t="shared" si="22"/>
        <v>0</v>
      </c>
      <c r="U70" s="6" t="str">
        <f t="shared" si="23"/>
        <v/>
      </c>
      <c r="V70" s="5">
        <f t="shared" si="24"/>
        <v>94463.29</v>
      </c>
      <c r="W70" s="5">
        <f t="shared" si="25"/>
        <v>112000</v>
      </c>
      <c r="X70" s="5">
        <f t="shared" si="26"/>
        <v>-17536.710000000006</v>
      </c>
      <c r="Y70" s="6">
        <f t="shared" si="27"/>
        <v>0.84342223214285705</v>
      </c>
    </row>
    <row r="71" spans="1:25" x14ac:dyDescent="0.25">
      <c r="A71" s="3" t="s">
        <v>74</v>
      </c>
      <c r="B71" s="5">
        <f>89.5</f>
        <v>89.5</v>
      </c>
      <c r="C71" s="5">
        <f>10000</f>
        <v>10000</v>
      </c>
      <c r="D71" s="5">
        <f t="shared" si="14"/>
        <v>-9910.5</v>
      </c>
      <c r="E71" s="6">
        <f t="shared" si="15"/>
        <v>8.9499999999999996E-3</v>
      </c>
      <c r="F71" s="5">
        <f>5617.56</f>
        <v>5617.56</v>
      </c>
      <c r="G71" s="5">
        <f>5000</f>
        <v>5000</v>
      </c>
      <c r="H71" s="5">
        <f t="shared" si="16"/>
        <v>617.5600000000004</v>
      </c>
      <c r="I71" s="6">
        <f t="shared" si="17"/>
        <v>1.1235120000000001</v>
      </c>
      <c r="J71" s="5">
        <f>22801.92</f>
        <v>22801.919999999998</v>
      </c>
      <c r="K71" s="5">
        <f>20500</f>
        <v>20500</v>
      </c>
      <c r="L71" s="5">
        <f t="shared" si="18"/>
        <v>2301.9199999999983</v>
      </c>
      <c r="M71" s="6">
        <f t="shared" si="19"/>
        <v>1.1122887804878048</v>
      </c>
      <c r="N71" s="4"/>
      <c r="O71" s="5">
        <f>12500</f>
        <v>12500</v>
      </c>
      <c r="P71" s="5">
        <f t="shared" si="20"/>
        <v>-12500</v>
      </c>
      <c r="Q71" s="6">
        <f t="shared" si="21"/>
        <v>0</v>
      </c>
      <c r="R71" s="4"/>
      <c r="S71" s="4"/>
      <c r="T71" s="5">
        <f t="shared" si="22"/>
        <v>0</v>
      </c>
      <c r="U71" s="6" t="str">
        <f t="shared" si="23"/>
        <v/>
      </c>
      <c r="V71" s="5">
        <f t="shared" si="24"/>
        <v>28508.98</v>
      </c>
      <c r="W71" s="5">
        <f t="shared" si="25"/>
        <v>48000</v>
      </c>
      <c r="X71" s="5">
        <f t="shared" si="26"/>
        <v>-19491.02</v>
      </c>
      <c r="Y71" s="6">
        <f t="shared" si="27"/>
        <v>0.59393708333333328</v>
      </c>
    </row>
    <row r="72" spans="1:25" x14ac:dyDescent="0.25">
      <c r="A72" s="3" t="s">
        <v>75</v>
      </c>
      <c r="B72" s="5">
        <f>93.48</f>
        <v>93.48</v>
      </c>
      <c r="C72" s="4"/>
      <c r="D72" s="5">
        <f t="shared" si="14"/>
        <v>93.48</v>
      </c>
      <c r="E72" s="6" t="str">
        <f t="shared" si="15"/>
        <v/>
      </c>
      <c r="F72" s="5">
        <f>61.33</f>
        <v>61.33</v>
      </c>
      <c r="G72" s="4"/>
      <c r="H72" s="5">
        <f t="shared" si="16"/>
        <v>61.33</v>
      </c>
      <c r="I72" s="6" t="str">
        <f t="shared" si="17"/>
        <v/>
      </c>
      <c r="J72" s="5">
        <f>22207.34</f>
        <v>22207.34</v>
      </c>
      <c r="K72" s="5">
        <f>23500</f>
        <v>23500</v>
      </c>
      <c r="L72" s="5">
        <f t="shared" si="18"/>
        <v>-1292.6599999999999</v>
      </c>
      <c r="M72" s="6">
        <f t="shared" si="19"/>
        <v>0.94499319148936167</v>
      </c>
      <c r="N72" s="4"/>
      <c r="O72" s="4"/>
      <c r="P72" s="5">
        <f t="shared" si="20"/>
        <v>0</v>
      </c>
      <c r="Q72" s="6" t="str">
        <f t="shared" si="21"/>
        <v/>
      </c>
      <c r="R72" s="4"/>
      <c r="S72" s="4"/>
      <c r="T72" s="5">
        <f t="shared" si="22"/>
        <v>0</v>
      </c>
      <c r="U72" s="6" t="str">
        <f t="shared" si="23"/>
        <v/>
      </c>
      <c r="V72" s="5">
        <f t="shared" si="24"/>
        <v>22362.15</v>
      </c>
      <c r="W72" s="5">
        <f t="shared" si="25"/>
        <v>23500</v>
      </c>
      <c r="X72" s="5">
        <f t="shared" si="26"/>
        <v>-1137.8499999999985</v>
      </c>
      <c r="Y72" s="6">
        <f t="shared" si="27"/>
        <v>0.95158085106382984</v>
      </c>
    </row>
    <row r="73" spans="1:25" x14ac:dyDescent="0.25">
      <c r="A73" s="3" t="s">
        <v>76</v>
      </c>
      <c r="B73" s="5">
        <f>186.77</f>
        <v>186.77</v>
      </c>
      <c r="C73" s="5">
        <f>2500</f>
        <v>2500</v>
      </c>
      <c r="D73" s="5">
        <f t="shared" si="14"/>
        <v>-2313.23</v>
      </c>
      <c r="E73" s="6">
        <f t="shared" si="15"/>
        <v>7.4708000000000011E-2</v>
      </c>
      <c r="F73" s="5">
        <f>1054.21</f>
        <v>1054.21</v>
      </c>
      <c r="G73" s="5">
        <f>3300</f>
        <v>3300</v>
      </c>
      <c r="H73" s="5">
        <f t="shared" si="16"/>
        <v>-2245.79</v>
      </c>
      <c r="I73" s="6">
        <f t="shared" si="17"/>
        <v>0.31945757575757577</v>
      </c>
      <c r="J73" s="5">
        <f>14261.34</f>
        <v>14261.34</v>
      </c>
      <c r="K73" s="5">
        <f>7500</f>
        <v>7500</v>
      </c>
      <c r="L73" s="5">
        <f t="shared" si="18"/>
        <v>6761.34</v>
      </c>
      <c r="M73" s="6">
        <f t="shared" si="19"/>
        <v>1.9015120000000001</v>
      </c>
      <c r="N73" s="5">
        <f>1814.21</f>
        <v>1814.21</v>
      </c>
      <c r="O73" s="5">
        <f>2500</f>
        <v>2500</v>
      </c>
      <c r="P73" s="5">
        <f t="shared" si="20"/>
        <v>-685.79</v>
      </c>
      <c r="Q73" s="6">
        <f t="shared" si="21"/>
        <v>0.725684</v>
      </c>
      <c r="R73" s="4"/>
      <c r="S73" s="4"/>
      <c r="T73" s="5">
        <f t="shared" si="22"/>
        <v>0</v>
      </c>
      <c r="U73" s="6" t="str">
        <f t="shared" si="23"/>
        <v/>
      </c>
      <c r="V73" s="5">
        <f t="shared" si="24"/>
        <v>17316.53</v>
      </c>
      <c r="W73" s="5">
        <f t="shared" si="25"/>
        <v>15800</v>
      </c>
      <c r="X73" s="5">
        <f t="shared" si="26"/>
        <v>1516.5299999999988</v>
      </c>
      <c r="Y73" s="6">
        <f t="shared" si="27"/>
        <v>1.0959829113924049</v>
      </c>
    </row>
    <row r="74" spans="1:25" x14ac:dyDescent="0.25">
      <c r="A74" s="3" t="s">
        <v>77</v>
      </c>
      <c r="B74" s="4"/>
      <c r="C74" s="4"/>
      <c r="D74" s="5">
        <f t="shared" si="14"/>
        <v>0</v>
      </c>
      <c r="E74" s="6" t="str">
        <f t="shared" si="15"/>
        <v/>
      </c>
      <c r="F74" s="4"/>
      <c r="G74" s="4"/>
      <c r="H74" s="5">
        <f t="shared" si="16"/>
        <v>0</v>
      </c>
      <c r="I74" s="6" t="str">
        <f t="shared" si="17"/>
        <v/>
      </c>
      <c r="J74" s="4"/>
      <c r="K74" s="4"/>
      <c r="L74" s="5">
        <f t="shared" si="18"/>
        <v>0</v>
      </c>
      <c r="M74" s="6" t="str">
        <f t="shared" si="19"/>
        <v/>
      </c>
      <c r="N74" s="4"/>
      <c r="O74" s="4"/>
      <c r="P74" s="5">
        <f t="shared" si="20"/>
        <v>0</v>
      </c>
      <c r="Q74" s="6" t="str">
        <f t="shared" si="21"/>
        <v/>
      </c>
      <c r="R74" s="4"/>
      <c r="S74" s="4"/>
      <c r="T74" s="5">
        <f t="shared" si="22"/>
        <v>0</v>
      </c>
      <c r="U74" s="6" t="str">
        <f t="shared" si="23"/>
        <v/>
      </c>
      <c r="V74" s="5">
        <f t="shared" si="24"/>
        <v>0</v>
      </c>
      <c r="W74" s="5">
        <f t="shared" si="25"/>
        <v>0</v>
      </c>
      <c r="X74" s="5">
        <f t="shared" si="26"/>
        <v>0</v>
      </c>
      <c r="Y74" s="6" t="str">
        <f t="shared" si="27"/>
        <v/>
      </c>
    </row>
    <row r="75" spans="1:25" x14ac:dyDescent="0.25">
      <c r="A75" s="3" t="s">
        <v>78</v>
      </c>
      <c r="B75" s="4"/>
      <c r="C75" s="4"/>
      <c r="D75" s="5">
        <f t="shared" si="14"/>
        <v>0</v>
      </c>
      <c r="E75" s="6" t="str">
        <f t="shared" si="15"/>
        <v/>
      </c>
      <c r="F75" s="4"/>
      <c r="G75" s="4"/>
      <c r="H75" s="5">
        <f t="shared" si="16"/>
        <v>0</v>
      </c>
      <c r="I75" s="6" t="str">
        <f t="shared" si="17"/>
        <v/>
      </c>
      <c r="J75" s="5">
        <f>1674.67</f>
        <v>1674.67</v>
      </c>
      <c r="K75" s="5">
        <f>6500</f>
        <v>6500</v>
      </c>
      <c r="L75" s="5">
        <f t="shared" si="18"/>
        <v>-4825.33</v>
      </c>
      <c r="M75" s="6">
        <f t="shared" si="19"/>
        <v>0.25764153846153848</v>
      </c>
      <c r="N75" s="4"/>
      <c r="O75" s="4"/>
      <c r="P75" s="5">
        <f t="shared" si="20"/>
        <v>0</v>
      </c>
      <c r="Q75" s="6" t="str">
        <f t="shared" si="21"/>
        <v/>
      </c>
      <c r="R75" s="4"/>
      <c r="S75" s="4"/>
      <c r="T75" s="5">
        <f t="shared" si="22"/>
        <v>0</v>
      </c>
      <c r="U75" s="6" t="str">
        <f t="shared" si="23"/>
        <v/>
      </c>
      <c r="V75" s="5">
        <f t="shared" si="24"/>
        <v>1674.67</v>
      </c>
      <c r="W75" s="5">
        <f t="shared" si="25"/>
        <v>6500</v>
      </c>
      <c r="X75" s="5">
        <f t="shared" si="26"/>
        <v>-4825.33</v>
      </c>
      <c r="Y75" s="6">
        <f t="shared" si="27"/>
        <v>0.25764153846153848</v>
      </c>
    </row>
    <row r="76" spans="1:25" x14ac:dyDescent="0.25">
      <c r="A76" s="3" t="s">
        <v>79</v>
      </c>
      <c r="B76" s="4"/>
      <c r="C76" s="5">
        <f>20000</f>
        <v>20000</v>
      </c>
      <c r="D76" s="5">
        <f t="shared" si="14"/>
        <v>-20000</v>
      </c>
      <c r="E76" s="6">
        <f t="shared" si="15"/>
        <v>0</v>
      </c>
      <c r="F76" s="4"/>
      <c r="G76" s="5">
        <f>12000</f>
        <v>12000</v>
      </c>
      <c r="H76" s="5">
        <f t="shared" si="16"/>
        <v>-12000</v>
      </c>
      <c r="I76" s="6">
        <f t="shared" si="17"/>
        <v>0</v>
      </c>
      <c r="J76" s="5">
        <f>44817.47</f>
        <v>44817.47</v>
      </c>
      <c r="K76" s="5">
        <f>35000</f>
        <v>35000</v>
      </c>
      <c r="L76" s="5">
        <f t="shared" si="18"/>
        <v>9817.4700000000012</v>
      </c>
      <c r="M76" s="6">
        <f t="shared" si="19"/>
        <v>1.2804991428571428</v>
      </c>
      <c r="N76" s="5">
        <f>696.13</f>
        <v>696.13</v>
      </c>
      <c r="O76" s="4"/>
      <c r="P76" s="5">
        <f t="shared" si="20"/>
        <v>696.13</v>
      </c>
      <c r="Q76" s="6" t="str">
        <f t="shared" si="21"/>
        <v/>
      </c>
      <c r="R76" s="5">
        <f>-6467.4</f>
        <v>-6467.4</v>
      </c>
      <c r="S76" s="4"/>
      <c r="T76" s="5">
        <f t="shared" si="22"/>
        <v>-6467.4</v>
      </c>
      <c r="U76" s="6" t="str">
        <f t="shared" si="23"/>
        <v/>
      </c>
      <c r="V76" s="5">
        <f t="shared" si="24"/>
        <v>39046.199999999997</v>
      </c>
      <c r="W76" s="5">
        <f t="shared" si="25"/>
        <v>67000</v>
      </c>
      <c r="X76" s="5">
        <f t="shared" si="26"/>
        <v>-27953.800000000003</v>
      </c>
      <c r="Y76" s="6">
        <f t="shared" si="27"/>
        <v>0.58277910447761194</v>
      </c>
    </row>
    <row r="77" spans="1:25" x14ac:dyDescent="0.25">
      <c r="A77" s="3" t="s">
        <v>80</v>
      </c>
      <c r="B77" s="7">
        <f>((B74)+(B75))+(B76)</f>
        <v>0</v>
      </c>
      <c r="C77" s="7">
        <f>((C74)+(C75))+(C76)</f>
        <v>20000</v>
      </c>
      <c r="D77" s="7">
        <f t="shared" si="14"/>
        <v>-20000</v>
      </c>
      <c r="E77" s="8">
        <f t="shared" si="15"/>
        <v>0</v>
      </c>
      <c r="F77" s="7">
        <f>((F74)+(F75))+(F76)</f>
        <v>0</v>
      </c>
      <c r="G77" s="7">
        <f>((G74)+(G75))+(G76)</f>
        <v>12000</v>
      </c>
      <c r="H77" s="7">
        <f t="shared" si="16"/>
        <v>-12000</v>
      </c>
      <c r="I77" s="8">
        <f t="shared" si="17"/>
        <v>0</v>
      </c>
      <c r="J77" s="7">
        <f>((J74)+(J75))+(J76)</f>
        <v>46492.14</v>
      </c>
      <c r="K77" s="7">
        <f>((K74)+(K75))+(K76)</f>
        <v>41500</v>
      </c>
      <c r="L77" s="7">
        <f t="shared" si="18"/>
        <v>4992.1399999999994</v>
      </c>
      <c r="M77" s="8">
        <f t="shared" si="19"/>
        <v>1.120292530120482</v>
      </c>
      <c r="N77" s="7">
        <f>((N74)+(N75))+(N76)</f>
        <v>696.13</v>
      </c>
      <c r="O77" s="7">
        <f>((O74)+(O75))+(O76)</f>
        <v>0</v>
      </c>
      <c r="P77" s="7">
        <f t="shared" si="20"/>
        <v>696.13</v>
      </c>
      <c r="Q77" s="8" t="str">
        <f t="shared" si="21"/>
        <v/>
      </c>
      <c r="R77" s="7">
        <f>((R74)+(R75))+(R76)</f>
        <v>-6467.4</v>
      </c>
      <c r="S77" s="7">
        <f>((S74)+(S75))+(S76)</f>
        <v>0</v>
      </c>
      <c r="T77" s="7">
        <f t="shared" si="22"/>
        <v>-6467.4</v>
      </c>
      <c r="U77" s="8" t="str">
        <f t="shared" si="23"/>
        <v/>
      </c>
      <c r="V77" s="7">
        <f t="shared" si="24"/>
        <v>40720.869999999995</v>
      </c>
      <c r="W77" s="7">
        <f t="shared" si="25"/>
        <v>73500</v>
      </c>
      <c r="X77" s="7">
        <f t="shared" si="26"/>
        <v>-32779.130000000005</v>
      </c>
      <c r="Y77" s="8">
        <f t="shared" si="27"/>
        <v>0.55402544217687066</v>
      </c>
    </row>
    <row r="78" spans="1:25" x14ac:dyDescent="0.25">
      <c r="A78" s="3" t="s">
        <v>81</v>
      </c>
      <c r="B78" s="4"/>
      <c r="C78" s="4"/>
      <c r="D78" s="5">
        <f t="shared" si="14"/>
        <v>0</v>
      </c>
      <c r="E78" s="6" t="str">
        <f t="shared" si="15"/>
        <v/>
      </c>
      <c r="F78" s="4"/>
      <c r="G78" s="4"/>
      <c r="H78" s="5">
        <f t="shared" si="16"/>
        <v>0</v>
      </c>
      <c r="I78" s="6" t="str">
        <f t="shared" si="17"/>
        <v/>
      </c>
      <c r="J78" s="5">
        <f>80</f>
        <v>80</v>
      </c>
      <c r="K78" s="4"/>
      <c r="L78" s="5">
        <f t="shared" si="18"/>
        <v>80</v>
      </c>
      <c r="M78" s="6" t="str">
        <f t="shared" si="19"/>
        <v/>
      </c>
      <c r="N78" s="4"/>
      <c r="O78" s="4"/>
      <c r="P78" s="5">
        <f t="shared" si="20"/>
        <v>0</v>
      </c>
      <c r="Q78" s="6" t="str">
        <f t="shared" si="21"/>
        <v/>
      </c>
      <c r="R78" s="4"/>
      <c r="S78" s="4"/>
      <c r="T78" s="5">
        <f t="shared" si="22"/>
        <v>0</v>
      </c>
      <c r="U78" s="6" t="str">
        <f t="shared" si="23"/>
        <v/>
      </c>
      <c r="V78" s="5">
        <f t="shared" si="24"/>
        <v>80</v>
      </c>
      <c r="W78" s="5">
        <f t="shared" si="25"/>
        <v>0</v>
      </c>
      <c r="X78" s="5">
        <f t="shared" si="26"/>
        <v>80</v>
      </c>
      <c r="Y78" s="6" t="str">
        <f t="shared" si="27"/>
        <v/>
      </c>
    </row>
    <row r="79" spans="1:25" x14ac:dyDescent="0.25">
      <c r="A79" s="3" t="s">
        <v>82</v>
      </c>
      <c r="B79" s="5">
        <f>1478.59</f>
        <v>1478.59</v>
      </c>
      <c r="C79" s="5">
        <f>2000</f>
        <v>2000</v>
      </c>
      <c r="D79" s="5">
        <f t="shared" si="14"/>
        <v>-521.41000000000008</v>
      </c>
      <c r="E79" s="6">
        <f t="shared" si="15"/>
        <v>0.73929499999999992</v>
      </c>
      <c r="F79" s="5">
        <f>5432.42</f>
        <v>5432.42</v>
      </c>
      <c r="G79" s="4"/>
      <c r="H79" s="5">
        <f t="shared" si="16"/>
        <v>5432.42</v>
      </c>
      <c r="I79" s="6" t="str">
        <f t="shared" si="17"/>
        <v/>
      </c>
      <c r="J79" s="5">
        <f>1752.67</f>
        <v>1752.67</v>
      </c>
      <c r="K79" s="5">
        <f>2000</f>
        <v>2000</v>
      </c>
      <c r="L79" s="5">
        <f t="shared" si="18"/>
        <v>-247.32999999999993</v>
      </c>
      <c r="M79" s="6">
        <f t="shared" si="19"/>
        <v>0.87633500000000009</v>
      </c>
      <c r="N79" s="5">
        <f>219.38</f>
        <v>219.38</v>
      </c>
      <c r="O79" s="5">
        <f>5000</f>
        <v>5000</v>
      </c>
      <c r="P79" s="5">
        <f t="shared" si="20"/>
        <v>-4780.62</v>
      </c>
      <c r="Q79" s="6">
        <f t="shared" si="21"/>
        <v>4.3875999999999998E-2</v>
      </c>
      <c r="R79" s="4"/>
      <c r="S79" s="4"/>
      <c r="T79" s="5">
        <f t="shared" si="22"/>
        <v>0</v>
      </c>
      <c r="U79" s="6" t="str">
        <f t="shared" si="23"/>
        <v/>
      </c>
      <c r="V79" s="5">
        <f t="shared" si="24"/>
        <v>8883.06</v>
      </c>
      <c r="W79" s="5">
        <f t="shared" si="25"/>
        <v>9000</v>
      </c>
      <c r="X79" s="5">
        <f t="shared" si="26"/>
        <v>-116.94000000000051</v>
      </c>
      <c r="Y79" s="6">
        <f t="shared" si="27"/>
        <v>0.98700666666666659</v>
      </c>
    </row>
    <row r="80" spans="1:25" x14ac:dyDescent="0.25">
      <c r="A80" s="3" t="s">
        <v>83</v>
      </c>
      <c r="B80" s="5">
        <f>3121.18</f>
        <v>3121.18</v>
      </c>
      <c r="C80" s="5">
        <f>20000</f>
        <v>20000</v>
      </c>
      <c r="D80" s="5">
        <f t="shared" si="14"/>
        <v>-16878.82</v>
      </c>
      <c r="E80" s="6">
        <f t="shared" si="15"/>
        <v>0.156059</v>
      </c>
      <c r="F80" s="4"/>
      <c r="G80" s="4"/>
      <c r="H80" s="5">
        <f t="shared" si="16"/>
        <v>0</v>
      </c>
      <c r="I80" s="6" t="str">
        <f t="shared" si="17"/>
        <v/>
      </c>
      <c r="J80" s="5">
        <f>2423.56</f>
        <v>2423.56</v>
      </c>
      <c r="K80" s="5">
        <f>5000</f>
        <v>5000</v>
      </c>
      <c r="L80" s="5">
        <f t="shared" si="18"/>
        <v>-2576.44</v>
      </c>
      <c r="M80" s="6">
        <f t="shared" si="19"/>
        <v>0.48471199999999998</v>
      </c>
      <c r="N80" s="4"/>
      <c r="O80" s="5">
        <f>2500</f>
        <v>2500</v>
      </c>
      <c r="P80" s="5">
        <f t="shared" si="20"/>
        <v>-2500</v>
      </c>
      <c r="Q80" s="6">
        <f t="shared" si="21"/>
        <v>0</v>
      </c>
      <c r="R80" s="4"/>
      <c r="S80" s="4"/>
      <c r="T80" s="5">
        <f t="shared" si="22"/>
        <v>0</v>
      </c>
      <c r="U80" s="6" t="str">
        <f t="shared" si="23"/>
        <v/>
      </c>
      <c r="V80" s="5">
        <f t="shared" si="24"/>
        <v>5544.74</v>
      </c>
      <c r="W80" s="5">
        <f t="shared" si="25"/>
        <v>27500</v>
      </c>
      <c r="X80" s="5">
        <f t="shared" si="26"/>
        <v>-21955.260000000002</v>
      </c>
      <c r="Y80" s="6">
        <f t="shared" si="27"/>
        <v>0.20162690909090908</v>
      </c>
    </row>
    <row r="81" spans="1:25" x14ac:dyDescent="0.25">
      <c r="A81" s="3" t="s">
        <v>84</v>
      </c>
      <c r="B81" s="5">
        <f>4800.63</f>
        <v>4800.63</v>
      </c>
      <c r="C81" s="5">
        <f>20000</f>
        <v>20000</v>
      </c>
      <c r="D81" s="5">
        <f t="shared" si="14"/>
        <v>-15199.369999999999</v>
      </c>
      <c r="E81" s="6">
        <f t="shared" si="15"/>
        <v>0.24003150000000001</v>
      </c>
      <c r="F81" s="5">
        <f>1300</f>
        <v>1300</v>
      </c>
      <c r="G81" s="5">
        <f>0</f>
        <v>0</v>
      </c>
      <c r="H81" s="5">
        <f t="shared" si="16"/>
        <v>1300</v>
      </c>
      <c r="I81" s="6" t="str">
        <f t="shared" si="17"/>
        <v/>
      </c>
      <c r="J81" s="5">
        <f>4839.58</f>
        <v>4839.58</v>
      </c>
      <c r="K81" s="5">
        <f>5000</f>
        <v>5000</v>
      </c>
      <c r="L81" s="5">
        <f t="shared" si="18"/>
        <v>-160.42000000000007</v>
      </c>
      <c r="M81" s="6">
        <f t="shared" si="19"/>
        <v>0.967916</v>
      </c>
      <c r="N81" s="4"/>
      <c r="O81" s="5">
        <f>7500</f>
        <v>7500</v>
      </c>
      <c r="P81" s="5">
        <f t="shared" si="20"/>
        <v>-7500</v>
      </c>
      <c r="Q81" s="6">
        <f t="shared" si="21"/>
        <v>0</v>
      </c>
      <c r="R81" s="4"/>
      <c r="S81" s="4"/>
      <c r="T81" s="5">
        <f t="shared" si="22"/>
        <v>0</v>
      </c>
      <c r="U81" s="6" t="str">
        <f t="shared" si="23"/>
        <v/>
      </c>
      <c r="V81" s="5">
        <f t="shared" si="24"/>
        <v>10940.21</v>
      </c>
      <c r="W81" s="5">
        <f t="shared" si="25"/>
        <v>32500</v>
      </c>
      <c r="X81" s="5">
        <f t="shared" si="26"/>
        <v>-21559.79</v>
      </c>
      <c r="Y81" s="6">
        <f t="shared" si="27"/>
        <v>0.3366218461538461</v>
      </c>
    </row>
    <row r="82" spans="1:25" x14ac:dyDescent="0.25">
      <c r="A82" s="3" t="s">
        <v>85</v>
      </c>
      <c r="B82" s="4"/>
      <c r="C82" s="5">
        <f>18500</f>
        <v>18500</v>
      </c>
      <c r="D82" s="5">
        <f t="shared" si="14"/>
        <v>-18500</v>
      </c>
      <c r="E82" s="6">
        <f t="shared" si="15"/>
        <v>0</v>
      </c>
      <c r="F82" s="4"/>
      <c r="G82" s="4"/>
      <c r="H82" s="5">
        <f t="shared" si="16"/>
        <v>0</v>
      </c>
      <c r="I82" s="6" t="str">
        <f t="shared" si="17"/>
        <v/>
      </c>
      <c r="J82" s="5">
        <f>18978.71</f>
        <v>18978.71</v>
      </c>
      <c r="K82" s="5">
        <f>6500</f>
        <v>6500</v>
      </c>
      <c r="L82" s="5">
        <f t="shared" si="18"/>
        <v>12478.71</v>
      </c>
      <c r="M82" s="6">
        <f t="shared" si="19"/>
        <v>2.9198015384615381</v>
      </c>
      <c r="N82" s="4"/>
      <c r="O82" s="4"/>
      <c r="P82" s="5">
        <f t="shared" si="20"/>
        <v>0</v>
      </c>
      <c r="Q82" s="6" t="str">
        <f t="shared" si="21"/>
        <v/>
      </c>
      <c r="R82" s="4"/>
      <c r="S82" s="4"/>
      <c r="T82" s="5">
        <f t="shared" si="22"/>
        <v>0</v>
      </c>
      <c r="U82" s="6" t="str">
        <f t="shared" si="23"/>
        <v/>
      </c>
      <c r="V82" s="5">
        <f t="shared" si="24"/>
        <v>18978.71</v>
      </c>
      <c r="W82" s="5">
        <f t="shared" si="25"/>
        <v>25000</v>
      </c>
      <c r="X82" s="5">
        <f t="shared" si="26"/>
        <v>-6021.2900000000009</v>
      </c>
      <c r="Y82" s="6">
        <f t="shared" si="27"/>
        <v>0.75914839999999995</v>
      </c>
    </row>
    <row r="83" spans="1:25" x14ac:dyDescent="0.25">
      <c r="A83" s="3" t="s">
        <v>86</v>
      </c>
      <c r="B83" s="5">
        <f>235</f>
        <v>235</v>
      </c>
      <c r="C83" s="5">
        <f>7000</f>
        <v>7000</v>
      </c>
      <c r="D83" s="5">
        <f t="shared" si="14"/>
        <v>-6765</v>
      </c>
      <c r="E83" s="6">
        <f t="shared" si="15"/>
        <v>3.3571428571428572E-2</v>
      </c>
      <c r="F83" s="4"/>
      <c r="G83" s="4"/>
      <c r="H83" s="5">
        <f t="shared" si="16"/>
        <v>0</v>
      </c>
      <c r="I83" s="6" t="str">
        <f t="shared" si="17"/>
        <v/>
      </c>
      <c r="J83" s="5">
        <f>2382.81</f>
        <v>2382.81</v>
      </c>
      <c r="K83" s="5">
        <f>5000</f>
        <v>5000</v>
      </c>
      <c r="L83" s="5">
        <f t="shared" si="18"/>
        <v>-2617.19</v>
      </c>
      <c r="M83" s="6">
        <f t="shared" si="19"/>
        <v>0.47656199999999999</v>
      </c>
      <c r="N83" s="4"/>
      <c r="O83" s="4"/>
      <c r="P83" s="5">
        <f t="shared" si="20"/>
        <v>0</v>
      </c>
      <c r="Q83" s="6" t="str">
        <f t="shared" si="21"/>
        <v/>
      </c>
      <c r="R83" s="4"/>
      <c r="S83" s="4"/>
      <c r="T83" s="5">
        <f t="shared" si="22"/>
        <v>0</v>
      </c>
      <c r="U83" s="6" t="str">
        <f t="shared" si="23"/>
        <v/>
      </c>
      <c r="V83" s="5">
        <f t="shared" si="24"/>
        <v>2617.81</v>
      </c>
      <c r="W83" s="5">
        <f t="shared" si="25"/>
        <v>12000</v>
      </c>
      <c r="X83" s="5">
        <f t="shared" si="26"/>
        <v>-9382.19</v>
      </c>
      <c r="Y83" s="6">
        <f t="shared" si="27"/>
        <v>0.21815083333333332</v>
      </c>
    </row>
    <row r="84" spans="1:25" x14ac:dyDescent="0.25">
      <c r="A84" s="3" t="s">
        <v>87</v>
      </c>
      <c r="B84" s="7">
        <f>(((((B78)+(B79))+(B80))+(B81))+(B82))+(B83)</f>
        <v>9635.4</v>
      </c>
      <c r="C84" s="7">
        <f>(((((C78)+(C79))+(C80))+(C81))+(C82))+(C83)</f>
        <v>67500</v>
      </c>
      <c r="D84" s="7">
        <f t="shared" ref="D84:D115" si="28">(B84)-(C84)</f>
        <v>-57864.6</v>
      </c>
      <c r="E84" s="8">
        <f t="shared" ref="E84:E115" si="29">IF(C84=0,"",(B84)/(C84))</f>
        <v>0.14274666666666666</v>
      </c>
      <c r="F84" s="7">
        <f>(((((F78)+(F79))+(F80))+(F81))+(F82))+(F83)</f>
        <v>6732.42</v>
      </c>
      <c r="G84" s="7">
        <f>(((((G78)+(G79))+(G80))+(G81))+(G82))+(G83)</f>
        <v>0</v>
      </c>
      <c r="H84" s="7">
        <f t="shared" ref="H84:H115" si="30">(F84)-(G84)</f>
        <v>6732.42</v>
      </c>
      <c r="I84" s="8" t="str">
        <f t="shared" ref="I84:I115" si="31">IF(G84=0,"",(F84)/(G84))</f>
        <v/>
      </c>
      <c r="J84" s="7">
        <f>(((((J78)+(J79))+(J80))+(J81))+(J82))+(J83)</f>
        <v>30457.329999999998</v>
      </c>
      <c r="K84" s="7">
        <f>(((((K78)+(K79))+(K80))+(K81))+(K82))+(K83)</f>
        <v>23500</v>
      </c>
      <c r="L84" s="7">
        <f t="shared" ref="L84:L115" si="32">(J84)-(K84)</f>
        <v>6957.3299999999981</v>
      </c>
      <c r="M84" s="8">
        <f t="shared" ref="M84:M115" si="33">IF(K84=0,"",(J84)/(K84))</f>
        <v>1.2960565957446808</v>
      </c>
      <c r="N84" s="7">
        <f>(((((N78)+(N79))+(N80))+(N81))+(N82))+(N83)</f>
        <v>219.38</v>
      </c>
      <c r="O84" s="7">
        <f>(((((O78)+(O79))+(O80))+(O81))+(O82))+(O83)</f>
        <v>15000</v>
      </c>
      <c r="P84" s="7">
        <f t="shared" ref="P84:P115" si="34">(N84)-(O84)</f>
        <v>-14780.62</v>
      </c>
      <c r="Q84" s="8">
        <f t="shared" ref="Q84:Q115" si="35">IF(O84=0,"",(N84)/(O84))</f>
        <v>1.4625333333333332E-2</v>
      </c>
      <c r="R84" s="7">
        <f>(((((R78)+(R79))+(R80))+(R81))+(R82))+(R83)</f>
        <v>0</v>
      </c>
      <c r="S84" s="7">
        <f>(((((S78)+(S79))+(S80))+(S81))+(S82))+(S83)</f>
        <v>0</v>
      </c>
      <c r="T84" s="7">
        <f t="shared" ref="T84:T115" si="36">(R84)-(S84)</f>
        <v>0</v>
      </c>
      <c r="U84" s="8" t="str">
        <f t="shared" ref="U84:U115" si="37">IF(S84=0,"",(R84)/(S84))</f>
        <v/>
      </c>
      <c r="V84" s="7">
        <f t="shared" ref="V84:V115" si="38">((((B84)+(F84))+(J84))+(N84))+(R84)</f>
        <v>47044.529999999992</v>
      </c>
      <c r="W84" s="7">
        <f t="shared" ref="W84:W115" si="39">((((C84)+(G84))+(K84))+(O84))+(S84)</f>
        <v>106000</v>
      </c>
      <c r="X84" s="7">
        <f t="shared" ref="X84:X115" si="40">(V84)-(W84)</f>
        <v>-58955.470000000008</v>
      </c>
      <c r="Y84" s="8">
        <f t="shared" ref="Y84:Y115" si="41">IF(W84=0,"",(V84)/(W84))</f>
        <v>0.44381632075471689</v>
      </c>
    </row>
    <row r="85" spans="1:25" x14ac:dyDescent="0.25">
      <c r="A85" s="3" t="s">
        <v>88</v>
      </c>
      <c r="B85" s="4"/>
      <c r="C85" s="4"/>
      <c r="D85" s="5">
        <f t="shared" si="28"/>
        <v>0</v>
      </c>
      <c r="E85" s="6" t="str">
        <f t="shared" si="29"/>
        <v/>
      </c>
      <c r="F85" s="4"/>
      <c r="G85" s="4"/>
      <c r="H85" s="5">
        <f t="shared" si="30"/>
        <v>0</v>
      </c>
      <c r="I85" s="6" t="str">
        <f t="shared" si="31"/>
        <v/>
      </c>
      <c r="J85" s="4"/>
      <c r="K85" s="4"/>
      <c r="L85" s="5">
        <f t="shared" si="32"/>
        <v>0</v>
      </c>
      <c r="M85" s="6" t="str">
        <f t="shared" si="33"/>
        <v/>
      </c>
      <c r="N85" s="4"/>
      <c r="O85" s="4"/>
      <c r="P85" s="5">
        <f t="shared" si="34"/>
        <v>0</v>
      </c>
      <c r="Q85" s="6" t="str">
        <f t="shared" si="35"/>
        <v/>
      </c>
      <c r="R85" s="4"/>
      <c r="S85" s="4"/>
      <c r="T85" s="5">
        <f t="shared" si="36"/>
        <v>0</v>
      </c>
      <c r="U85" s="6" t="str">
        <f t="shared" si="37"/>
        <v/>
      </c>
      <c r="V85" s="5">
        <f t="shared" si="38"/>
        <v>0</v>
      </c>
      <c r="W85" s="5">
        <f t="shared" si="39"/>
        <v>0</v>
      </c>
      <c r="X85" s="5">
        <f t="shared" si="40"/>
        <v>0</v>
      </c>
      <c r="Y85" s="6" t="str">
        <f t="shared" si="41"/>
        <v/>
      </c>
    </row>
    <row r="86" spans="1:25" x14ac:dyDescent="0.25">
      <c r="A86" s="3" t="s">
        <v>89</v>
      </c>
      <c r="B86" s="4"/>
      <c r="C86" s="4"/>
      <c r="D86" s="5">
        <f t="shared" si="28"/>
        <v>0</v>
      </c>
      <c r="E86" s="6" t="str">
        <f t="shared" si="29"/>
        <v/>
      </c>
      <c r="F86" s="4"/>
      <c r="G86" s="4"/>
      <c r="H86" s="5">
        <f t="shared" si="30"/>
        <v>0</v>
      </c>
      <c r="I86" s="6" t="str">
        <f t="shared" si="31"/>
        <v/>
      </c>
      <c r="J86" s="5">
        <f>1233.65</f>
        <v>1233.6500000000001</v>
      </c>
      <c r="K86" s="5">
        <f>1000</f>
        <v>1000</v>
      </c>
      <c r="L86" s="5">
        <f t="shared" si="32"/>
        <v>233.65000000000009</v>
      </c>
      <c r="M86" s="6">
        <f t="shared" si="33"/>
        <v>1.2336500000000001</v>
      </c>
      <c r="N86" s="4"/>
      <c r="O86" s="4"/>
      <c r="P86" s="5">
        <f t="shared" si="34"/>
        <v>0</v>
      </c>
      <c r="Q86" s="6" t="str">
        <f t="shared" si="35"/>
        <v/>
      </c>
      <c r="R86" s="4"/>
      <c r="S86" s="4"/>
      <c r="T86" s="5">
        <f t="shared" si="36"/>
        <v>0</v>
      </c>
      <c r="U86" s="6" t="str">
        <f t="shared" si="37"/>
        <v/>
      </c>
      <c r="V86" s="5">
        <f t="shared" si="38"/>
        <v>1233.6500000000001</v>
      </c>
      <c r="W86" s="5">
        <f t="shared" si="39"/>
        <v>1000</v>
      </c>
      <c r="X86" s="5">
        <f t="shared" si="40"/>
        <v>233.65000000000009</v>
      </c>
      <c r="Y86" s="6">
        <f t="shared" si="41"/>
        <v>1.2336500000000001</v>
      </c>
    </row>
    <row r="87" spans="1:25" x14ac:dyDescent="0.25">
      <c r="A87" s="3" t="s">
        <v>90</v>
      </c>
      <c r="B87" s="4"/>
      <c r="C87" s="4"/>
      <c r="D87" s="5">
        <f t="shared" si="28"/>
        <v>0</v>
      </c>
      <c r="E87" s="6" t="str">
        <f t="shared" si="29"/>
        <v/>
      </c>
      <c r="F87" s="4"/>
      <c r="G87" s="4"/>
      <c r="H87" s="5">
        <f t="shared" si="30"/>
        <v>0</v>
      </c>
      <c r="I87" s="6" t="str">
        <f t="shared" si="31"/>
        <v/>
      </c>
      <c r="J87" s="5">
        <f>820415.37</f>
        <v>820415.37</v>
      </c>
      <c r="K87" s="5">
        <f>935000</f>
        <v>935000</v>
      </c>
      <c r="L87" s="5">
        <f t="shared" si="32"/>
        <v>-114584.63</v>
      </c>
      <c r="M87" s="6">
        <f t="shared" si="33"/>
        <v>0.87744959358288765</v>
      </c>
      <c r="N87" s="4"/>
      <c r="O87" s="4"/>
      <c r="P87" s="5">
        <f t="shared" si="34"/>
        <v>0</v>
      </c>
      <c r="Q87" s="6" t="str">
        <f t="shared" si="35"/>
        <v/>
      </c>
      <c r="R87" s="4"/>
      <c r="S87" s="4"/>
      <c r="T87" s="5">
        <f t="shared" si="36"/>
        <v>0</v>
      </c>
      <c r="U87" s="6" t="str">
        <f t="shared" si="37"/>
        <v/>
      </c>
      <c r="V87" s="5">
        <f t="shared" si="38"/>
        <v>820415.37</v>
      </c>
      <c r="W87" s="5">
        <f t="shared" si="39"/>
        <v>935000</v>
      </c>
      <c r="X87" s="5">
        <f t="shared" si="40"/>
        <v>-114584.63</v>
      </c>
      <c r="Y87" s="6">
        <f t="shared" si="41"/>
        <v>0.87744959358288765</v>
      </c>
    </row>
    <row r="88" spans="1:25" x14ac:dyDescent="0.25">
      <c r="A88" s="3" t="s">
        <v>91</v>
      </c>
      <c r="B88" s="7">
        <f>((B85)+(B86))+(B87)</f>
        <v>0</v>
      </c>
      <c r="C88" s="7">
        <f>((C85)+(C86))+(C87)</f>
        <v>0</v>
      </c>
      <c r="D88" s="7">
        <f t="shared" si="28"/>
        <v>0</v>
      </c>
      <c r="E88" s="8" t="str">
        <f t="shared" si="29"/>
        <v/>
      </c>
      <c r="F88" s="7">
        <f>((F85)+(F86))+(F87)</f>
        <v>0</v>
      </c>
      <c r="G88" s="7">
        <f>((G85)+(G86))+(G87)</f>
        <v>0</v>
      </c>
      <c r="H88" s="7">
        <f t="shared" si="30"/>
        <v>0</v>
      </c>
      <c r="I88" s="8" t="str">
        <f t="shared" si="31"/>
        <v/>
      </c>
      <c r="J88" s="7">
        <f>((J85)+(J86))+(J87)</f>
        <v>821649.02</v>
      </c>
      <c r="K88" s="7">
        <f>((K85)+(K86))+(K87)</f>
        <v>936000</v>
      </c>
      <c r="L88" s="7">
        <f t="shared" si="32"/>
        <v>-114350.97999999998</v>
      </c>
      <c r="M88" s="8">
        <f t="shared" si="33"/>
        <v>0.8778301495726496</v>
      </c>
      <c r="N88" s="7">
        <f>((N85)+(N86))+(N87)</f>
        <v>0</v>
      </c>
      <c r="O88" s="7">
        <f>((O85)+(O86))+(O87)</f>
        <v>0</v>
      </c>
      <c r="P88" s="7">
        <f t="shared" si="34"/>
        <v>0</v>
      </c>
      <c r="Q88" s="8" t="str">
        <f t="shared" si="35"/>
        <v/>
      </c>
      <c r="R88" s="7">
        <f>((R85)+(R86))+(R87)</f>
        <v>0</v>
      </c>
      <c r="S88" s="7">
        <f>((S85)+(S86))+(S87)</f>
        <v>0</v>
      </c>
      <c r="T88" s="7">
        <f t="shared" si="36"/>
        <v>0</v>
      </c>
      <c r="U88" s="8" t="str">
        <f t="shared" si="37"/>
        <v/>
      </c>
      <c r="V88" s="7">
        <f t="shared" si="38"/>
        <v>821649.02</v>
      </c>
      <c r="W88" s="7">
        <f t="shared" si="39"/>
        <v>936000</v>
      </c>
      <c r="X88" s="7">
        <f t="shared" si="40"/>
        <v>-114350.97999999998</v>
      </c>
      <c r="Y88" s="8">
        <f t="shared" si="41"/>
        <v>0.8778301495726496</v>
      </c>
    </row>
    <row r="89" spans="1:25" x14ac:dyDescent="0.25">
      <c r="A89" s="3" t="s">
        <v>92</v>
      </c>
      <c r="B89" s="4"/>
      <c r="C89" s="4"/>
      <c r="D89" s="5">
        <f t="shared" si="28"/>
        <v>0</v>
      </c>
      <c r="E89" s="6" t="str">
        <f t="shared" si="29"/>
        <v/>
      </c>
      <c r="F89" s="4"/>
      <c r="G89" s="4"/>
      <c r="H89" s="5">
        <f t="shared" si="30"/>
        <v>0</v>
      </c>
      <c r="I89" s="6" t="str">
        <f t="shared" si="31"/>
        <v/>
      </c>
      <c r="J89" s="4"/>
      <c r="K89" s="4"/>
      <c r="L89" s="5">
        <f t="shared" si="32"/>
        <v>0</v>
      </c>
      <c r="M89" s="6" t="str">
        <f t="shared" si="33"/>
        <v/>
      </c>
      <c r="N89" s="4"/>
      <c r="O89" s="4"/>
      <c r="P89" s="5">
        <f t="shared" si="34"/>
        <v>0</v>
      </c>
      <c r="Q89" s="6" t="str">
        <f t="shared" si="35"/>
        <v/>
      </c>
      <c r="R89" s="4"/>
      <c r="S89" s="4"/>
      <c r="T89" s="5">
        <f t="shared" si="36"/>
        <v>0</v>
      </c>
      <c r="U89" s="6" t="str">
        <f t="shared" si="37"/>
        <v/>
      </c>
      <c r="V89" s="5">
        <f t="shared" si="38"/>
        <v>0</v>
      </c>
      <c r="W89" s="5">
        <f t="shared" si="39"/>
        <v>0</v>
      </c>
      <c r="X89" s="5">
        <f t="shared" si="40"/>
        <v>0</v>
      </c>
      <c r="Y89" s="6" t="str">
        <f t="shared" si="41"/>
        <v/>
      </c>
    </row>
    <row r="90" spans="1:25" x14ac:dyDescent="0.25">
      <c r="A90" s="3" t="s">
        <v>93</v>
      </c>
      <c r="B90" s="4"/>
      <c r="C90" s="4"/>
      <c r="D90" s="5">
        <f t="shared" si="28"/>
        <v>0</v>
      </c>
      <c r="E90" s="6" t="str">
        <f t="shared" si="29"/>
        <v/>
      </c>
      <c r="F90" s="4"/>
      <c r="G90" s="4"/>
      <c r="H90" s="5">
        <f t="shared" si="30"/>
        <v>0</v>
      </c>
      <c r="I90" s="6" t="str">
        <f t="shared" si="31"/>
        <v/>
      </c>
      <c r="J90" s="5">
        <f>119632.14</f>
        <v>119632.14</v>
      </c>
      <c r="K90" s="5">
        <f>58000</f>
        <v>58000</v>
      </c>
      <c r="L90" s="5">
        <f t="shared" si="32"/>
        <v>61632.14</v>
      </c>
      <c r="M90" s="6">
        <f t="shared" si="33"/>
        <v>2.062623103448276</v>
      </c>
      <c r="N90" s="4"/>
      <c r="O90" s="4"/>
      <c r="P90" s="5">
        <f t="shared" si="34"/>
        <v>0</v>
      </c>
      <c r="Q90" s="6" t="str">
        <f t="shared" si="35"/>
        <v/>
      </c>
      <c r="R90" s="4"/>
      <c r="S90" s="4"/>
      <c r="T90" s="5">
        <f t="shared" si="36"/>
        <v>0</v>
      </c>
      <c r="U90" s="6" t="str">
        <f t="shared" si="37"/>
        <v/>
      </c>
      <c r="V90" s="5">
        <f t="shared" si="38"/>
        <v>119632.14</v>
      </c>
      <c r="W90" s="5">
        <f t="shared" si="39"/>
        <v>58000</v>
      </c>
      <c r="X90" s="5">
        <f t="shared" si="40"/>
        <v>61632.14</v>
      </c>
      <c r="Y90" s="6">
        <f t="shared" si="41"/>
        <v>2.062623103448276</v>
      </c>
    </row>
    <row r="91" spans="1:25" x14ac:dyDescent="0.25">
      <c r="A91" s="3" t="s">
        <v>94</v>
      </c>
      <c r="B91" s="4"/>
      <c r="C91" s="4"/>
      <c r="D91" s="5">
        <f t="shared" si="28"/>
        <v>0</v>
      </c>
      <c r="E91" s="6" t="str">
        <f t="shared" si="29"/>
        <v/>
      </c>
      <c r="F91" s="4"/>
      <c r="G91" s="4"/>
      <c r="H91" s="5">
        <f t="shared" si="30"/>
        <v>0</v>
      </c>
      <c r="I91" s="6" t="str">
        <f t="shared" si="31"/>
        <v/>
      </c>
      <c r="J91" s="5">
        <f>3535.1</f>
        <v>3535.1</v>
      </c>
      <c r="K91" s="5">
        <f>1500</f>
        <v>1500</v>
      </c>
      <c r="L91" s="5">
        <f t="shared" si="32"/>
        <v>2035.1</v>
      </c>
      <c r="M91" s="6">
        <f t="shared" si="33"/>
        <v>2.3567333333333331</v>
      </c>
      <c r="N91" s="4"/>
      <c r="O91" s="4"/>
      <c r="P91" s="5">
        <f t="shared" si="34"/>
        <v>0</v>
      </c>
      <c r="Q91" s="6" t="str">
        <f t="shared" si="35"/>
        <v/>
      </c>
      <c r="R91" s="4"/>
      <c r="S91" s="4"/>
      <c r="T91" s="5">
        <f t="shared" si="36"/>
        <v>0</v>
      </c>
      <c r="U91" s="6" t="str">
        <f t="shared" si="37"/>
        <v/>
      </c>
      <c r="V91" s="5">
        <f t="shared" si="38"/>
        <v>3535.1</v>
      </c>
      <c r="W91" s="5">
        <f t="shared" si="39"/>
        <v>1500</v>
      </c>
      <c r="X91" s="5">
        <f t="shared" si="40"/>
        <v>2035.1</v>
      </c>
      <c r="Y91" s="6">
        <f t="shared" si="41"/>
        <v>2.3567333333333331</v>
      </c>
    </row>
    <row r="92" spans="1:25" x14ac:dyDescent="0.25">
      <c r="A92" s="3" t="s">
        <v>95</v>
      </c>
      <c r="B92" s="4"/>
      <c r="C92" s="4"/>
      <c r="D92" s="5">
        <f t="shared" si="28"/>
        <v>0</v>
      </c>
      <c r="E92" s="6" t="str">
        <f t="shared" si="29"/>
        <v/>
      </c>
      <c r="F92" s="4"/>
      <c r="G92" s="4"/>
      <c r="H92" s="5">
        <f t="shared" si="30"/>
        <v>0</v>
      </c>
      <c r="I92" s="6" t="str">
        <f t="shared" si="31"/>
        <v/>
      </c>
      <c r="J92" s="5">
        <f>2144.56</f>
        <v>2144.56</v>
      </c>
      <c r="K92" s="5">
        <f>3000</f>
        <v>3000</v>
      </c>
      <c r="L92" s="5">
        <f t="shared" si="32"/>
        <v>-855.44</v>
      </c>
      <c r="M92" s="6">
        <f t="shared" si="33"/>
        <v>0.71485333333333334</v>
      </c>
      <c r="N92" s="4"/>
      <c r="O92" s="4"/>
      <c r="P92" s="5">
        <f t="shared" si="34"/>
        <v>0</v>
      </c>
      <c r="Q92" s="6" t="str">
        <f t="shared" si="35"/>
        <v/>
      </c>
      <c r="R92" s="4"/>
      <c r="S92" s="4"/>
      <c r="T92" s="5">
        <f t="shared" si="36"/>
        <v>0</v>
      </c>
      <c r="U92" s="6" t="str">
        <f t="shared" si="37"/>
        <v/>
      </c>
      <c r="V92" s="5">
        <f t="shared" si="38"/>
        <v>2144.56</v>
      </c>
      <c r="W92" s="5">
        <f t="shared" si="39"/>
        <v>3000</v>
      </c>
      <c r="X92" s="5">
        <f t="shared" si="40"/>
        <v>-855.44</v>
      </c>
      <c r="Y92" s="6">
        <f t="shared" si="41"/>
        <v>0.71485333333333334</v>
      </c>
    </row>
    <row r="93" spans="1:25" x14ac:dyDescent="0.25">
      <c r="A93" s="3" t="s">
        <v>96</v>
      </c>
      <c r="B93" s="4"/>
      <c r="C93" s="4"/>
      <c r="D93" s="5">
        <f t="shared" si="28"/>
        <v>0</v>
      </c>
      <c r="E93" s="6" t="str">
        <f t="shared" si="29"/>
        <v/>
      </c>
      <c r="F93" s="4"/>
      <c r="G93" s="4"/>
      <c r="H93" s="5">
        <f t="shared" si="30"/>
        <v>0</v>
      </c>
      <c r="I93" s="6" t="str">
        <f t="shared" si="31"/>
        <v/>
      </c>
      <c r="J93" s="5">
        <f>64063.33</f>
        <v>64063.33</v>
      </c>
      <c r="K93" s="5">
        <f>102500</f>
        <v>102500</v>
      </c>
      <c r="L93" s="5">
        <f t="shared" si="32"/>
        <v>-38436.67</v>
      </c>
      <c r="M93" s="6">
        <f t="shared" si="33"/>
        <v>0.62500809756097564</v>
      </c>
      <c r="N93" s="4"/>
      <c r="O93" s="4"/>
      <c r="P93" s="5">
        <f t="shared" si="34"/>
        <v>0</v>
      </c>
      <c r="Q93" s="6" t="str">
        <f t="shared" si="35"/>
        <v/>
      </c>
      <c r="R93" s="4"/>
      <c r="S93" s="4"/>
      <c r="T93" s="5">
        <f t="shared" si="36"/>
        <v>0</v>
      </c>
      <c r="U93" s="6" t="str">
        <f t="shared" si="37"/>
        <v/>
      </c>
      <c r="V93" s="5">
        <f t="shared" si="38"/>
        <v>64063.33</v>
      </c>
      <c r="W93" s="5">
        <f t="shared" si="39"/>
        <v>102500</v>
      </c>
      <c r="X93" s="5">
        <f t="shared" si="40"/>
        <v>-38436.67</v>
      </c>
      <c r="Y93" s="6">
        <f t="shared" si="41"/>
        <v>0.62500809756097564</v>
      </c>
    </row>
    <row r="94" spans="1:25" x14ac:dyDescent="0.25">
      <c r="A94" s="3" t="s">
        <v>97</v>
      </c>
      <c r="B94" s="4"/>
      <c r="C94" s="4"/>
      <c r="D94" s="5">
        <f t="shared" si="28"/>
        <v>0</v>
      </c>
      <c r="E94" s="6" t="str">
        <f t="shared" si="29"/>
        <v/>
      </c>
      <c r="F94" s="4"/>
      <c r="G94" s="4"/>
      <c r="H94" s="5">
        <f t="shared" si="30"/>
        <v>0</v>
      </c>
      <c r="I94" s="6" t="str">
        <f t="shared" si="31"/>
        <v/>
      </c>
      <c r="J94" s="5">
        <f>13207.95</f>
        <v>13207.95</v>
      </c>
      <c r="K94" s="5">
        <f>13000</f>
        <v>13000</v>
      </c>
      <c r="L94" s="5">
        <f t="shared" si="32"/>
        <v>207.95000000000073</v>
      </c>
      <c r="M94" s="6">
        <f t="shared" si="33"/>
        <v>1.0159961538461539</v>
      </c>
      <c r="N94" s="4"/>
      <c r="O94" s="4"/>
      <c r="P94" s="5">
        <f t="shared" si="34"/>
        <v>0</v>
      </c>
      <c r="Q94" s="6" t="str">
        <f t="shared" si="35"/>
        <v/>
      </c>
      <c r="R94" s="4"/>
      <c r="S94" s="4"/>
      <c r="T94" s="5">
        <f t="shared" si="36"/>
        <v>0</v>
      </c>
      <c r="U94" s="6" t="str">
        <f t="shared" si="37"/>
        <v/>
      </c>
      <c r="V94" s="5">
        <f t="shared" si="38"/>
        <v>13207.95</v>
      </c>
      <c r="W94" s="5">
        <f t="shared" si="39"/>
        <v>13000</v>
      </c>
      <c r="X94" s="5">
        <f t="shared" si="40"/>
        <v>207.95000000000073</v>
      </c>
      <c r="Y94" s="6">
        <f t="shared" si="41"/>
        <v>1.0159961538461539</v>
      </c>
    </row>
    <row r="95" spans="1:25" x14ac:dyDescent="0.25">
      <c r="A95" s="3" t="s">
        <v>98</v>
      </c>
      <c r="B95" s="5">
        <f>43.99</f>
        <v>43.99</v>
      </c>
      <c r="C95" s="4"/>
      <c r="D95" s="5">
        <f t="shared" si="28"/>
        <v>43.99</v>
      </c>
      <c r="E95" s="6" t="str">
        <f t="shared" si="29"/>
        <v/>
      </c>
      <c r="F95" s="4"/>
      <c r="G95" s="4"/>
      <c r="H95" s="5">
        <f t="shared" si="30"/>
        <v>0</v>
      </c>
      <c r="I95" s="6" t="str">
        <f t="shared" si="31"/>
        <v/>
      </c>
      <c r="J95" s="5">
        <f>7292.36</f>
        <v>7292.36</v>
      </c>
      <c r="K95" s="5">
        <f>25000</f>
        <v>25000</v>
      </c>
      <c r="L95" s="5">
        <f t="shared" si="32"/>
        <v>-17707.64</v>
      </c>
      <c r="M95" s="6">
        <f t="shared" si="33"/>
        <v>0.29169439999999996</v>
      </c>
      <c r="N95" s="4"/>
      <c r="O95" s="4"/>
      <c r="P95" s="5">
        <f t="shared" si="34"/>
        <v>0</v>
      </c>
      <c r="Q95" s="6" t="str">
        <f t="shared" si="35"/>
        <v/>
      </c>
      <c r="R95" s="4"/>
      <c r="S95" s="4"/>
      <c r="T95" s="5">
        <f t="shared" si="36"/>
        <v>0</v>
      </c>
      <c r="U95" s="6" t="str">
        <f t="shared" si="37"/>
        <v/>
      </c>
      <c r="V95" s="5">
        <f t="shared" si="38"/>
        <v>7336.3499999999995</v>
      </c>
      <c r="W95" s="5">
        <f t="shared" si="39"/>
        <v>25000</v>
      </c>
      <c r="X95" s="5">
        <f t="shared" si="40"/>
        <v>-17663.650000000001</v>
      </c>
      <c r="Y95" s="6">
        <f t="shared" si="41"/>
        <v>0.29345399999999999</v>
      </c>
    </row>
    <row r="96" spans="1:25" x14ac:dyDescent="0.25">
      <c r="A96" s="3" t="s">
        <v>99</v>
      </c>
      <c r="B96" s="4"/>
      <c r="C96" s="4"/>
      <c r="D96" s="5">
        <f t="shared" si="28"/>
        <v>0</v>
      </c>
      <c r="E96" s="6" t="str">
        <f t="shared" si="29"/>
        <v/>
      </c>
      <c r="F96" s="4"/>
      <c r="G96" s="4"/>
      <c r="H96" s="5">
        <f t="shared" si="30"/>
        <v>0</v>
      </c>
      <c r="I96" s="6" t="str">
        <f t="shared" si="31"/>
        <v/>
      </c>
      <c r="J96" s="5">
        <f>4720.78</f>
        <v>4720.78</v>
      </c>
      <c r="K96" s="5">
        <f>11000</f>
        <v>11000</v>
      </c>
      <c r="L96" s="5">
        <f t="shared" si="32"/>
        <v>-6279.22</v>
      </c>
      <c r="M96" s="6">
        <f t="shared" si="33"/>
        <v>0.42916181818181814</v>
      </c>
      <c r="N96" s="4"/>
      <c r="O96" s="4"/>
      <c r="P96" s="5">
        <f t="shared" si="34"/>
        <v>0</v>
      </c>
      <c r="Q96" s="6" t="str">
        <f t="shared" si="35"/>
        <v/>
      </c>
      <c r="R96" s="4"/>
      <c r="S96" s="4"/>
      <c r="T96" s="5">
        <f t="shared" si="36"/>
        <v>0</v>
      </c>
      <c r="U96" s="6" t="str">
        <f t="shared" si="37"/>
        <v/>
      </c>
      <c r="V96" s="5">
        <f t="shared" si="38"/>
        <v>4720.78</v>
      </c>
      <c r="W96" s="5">
        <f t="shared" si="39"/>
        <v>11000</v>
      </c>
      <c r="X96" s="5">
        <f t="shared" si="40"/>
        <v>-6279.22</v>
      </c>
      <c r="Y96" s="6">
        <f t="shared" si="41"/>
        <v>0.42916181818181814</v>
      </c>
    </row>
    <row r="97" spans="1:25" x14ac:dyDescent="0.25">
      <c r="A97" s="3" t="s">
        <v>100</v>
      </c>
      <c r="B97" s="4"/>
      <c r="C97" s="4"/>
      <c r="D97" s="5">
        <f t="shared" si="28"/>
        <v>0</v>
      </c>
      <c r="E97" s="6" t="str">
        <f t="shared" si="29"/>
        <v/>
      </c>
      <c r="F97" s="4"/>
      <c r="G97" s="4"/>
      <c r="H97" s="5">
        <f t="shared" si="30"/>
        <v>0</v>
      </c>
      <c r="I97" s="6" t="str">
        <f t="shared" si="31"/>
        <v/>
      </c>
      <c r="J97" s="4"/>
      <c r="K97" s="5">
        <f>2500</f>
        <v>2500</v>
      </c>
      <c r="L97" s="5">
        <f t="shared" si="32"/>
        <v>-2500</v>
      </c>
      <c r="M97" s="6">
        <f t="shared" si="33"/>
        <v>0</v>
      </c>
      <c r="N97" s="4"/>
      <c r="O97" s="4"/>
      <c r="P97" s="5">
        <f t="shared" si="34"/>
        <v>0</v>
      </c>
      <c r="Q97" s="6" t="str">
        <f t="shared" si="35"/>
        <v/>
      </c>
      <c r="R97" s="4"/>
      <c r="S97" s="4"/>
      <c r="T97" s="5">
        <f t="shared" si="36"/>
        <v>0</v>
      </c>
      <c r="U97" s="6" t="str">
        <f t="shared" si="37"/>
        <v/>
      </c>
      <c r="V97" s="5">
        <f t="shared" si="38"/>
        <v>0</v>
      </c>
      <c r="W97" s="5">
        <f t="shared" si="39"/>
        <v>2500</v>
      </c>
      <c r="X97" s="5">
        <f t="shared" si="40"/>
        <v>-2500</v>
      </c>
      <c r="Y97" s="6">
        <f t="shared" si="41"/>
        <v>0</v>
      </c>
    </row>
    <row r="98" spans="1:25" x14ac:dyDescent="0.25">
      <c r="A98" s="3" t="s">
        <v>101</v>
      </c>
      <c r="B98" s="4"/>
      <c r="C98" s="4"/>
      <c r="D98" s="5">
        <f t="shared" si="28"/>
        <v>0</v>
      </c>
      <c r="E98" s="6" t="str">
        <f t="shared" si="29"/>
        <v/>
      </c>
      <c r="F98" s="4"/>
      <c r="G98" s="4"/>
      <c r="H98" s="5">
        <f t="shared" si="30"/>
        <v>0</v>
      </c>
      <c r="I98" s="6" t="str">
        <f t="shared" si="31"/>
        <v/>
      </c>
      <c r="J98" s="5">
        <f>3103.59</f>
        <v>3103.59</v>
      </c>
      <c r="K98" s="5">
        <f>5000</f>
        <v>5000</v>
      </c>
      <c r="L98" s="5">
        <f t="shared" si="32"/>
        <v>-1896.4099999999999</v>
      </c>
      <c r="M98" s="6">
        <f t="shared" si="33"/>
        <v>0.62071799999999999</v>
      </c>
      <c r="N98" s="4"/>
      <c r="O98" s="4"/>
      <c r="P98" s="5">
        <f t="shared" si="34"/>
        <v>0</v>
      </c>
      <c r="Q98" s="6" t="str">
        <f t="shared" si="35"/>
        <v/>
      </c>
      <c r="R98" s="4"/>
      <c r="S98" s="4"/>
      <c r="T98" s="5">
        <f t="shared" si="36"/>
        <v>0</v>
      </c>
      <c r="U98" s="6" t="str">
        <f t="shared" si="37"/>
        <v/>
      </c>
      <c r="V98" s="5">
        <f t="shared" si="38"/>
        <v>3103.59</v>
      </c>
      <c r="W98" s="5">
        <f t="shared" si="39"/>
        <v>5000</v>
      </c>
      <c r="X98" s="5">
        <f t="shared" si="40"/>
        <v>-1896.4099999999999</v>
      </c>
      <c r="Y98" s="6">
        <f t="shared" si="41"/>
        <v>0.62071799999999999</v>
      </c>
    </row>
    <row r="99" spans="1:25" x14ac:dyDescent="0.25">
      <c r="A99" s="3" t="s">
        <v>102</v>
      </c>
      <c r="B99" s="7">
        <f>(((((((((B89)+(B90))+(B91))+(B92))+(B93))+(B94))+(B95))+(B96))+(B97))+(B98)</f>
        <v>43.99</v>
      </c>
      <c r="C99" s="7">
        <f>(((((((((C89)+(C90))+(C91))+(C92))+(C93))+(C94))+(C95))+(C96))+(C97))+(C98)</f>
        <v>0</v>
      </c>
      <c r="D99" s="7">
        <f t="shared" si="28"/>
        <v>43.99</v>
      </c>
      <c r="E99" s="8" t="str">
        <f t="shared" si="29"/>
        <v/>
      </c>
      <c r="F99" s="7">
        <f>(((((((((F89)+(F90))+(F91))+(F92))+(F93))+(F94))+(F95))+(F96))+(F97))+(F98)</f>
        <v>0</v>
      </c>
      <c r="G99" s="7">
        <f>(((((((((G89)+(G90))+(G91))+(G92))+(G93))+(G94))+(G95))+(G96))+(G97))+(G98)</f>
        <v>0</v>
      </c>
      <c r="H99" s="7">
        <f t="shared" si="30"/>
        <v>0</v>
      </c>
      <c r="I99" s="8" t="str">
        <f t="shared" si="31"/>
        <v/>
      </c>
      <c r="J99" s="7">
        <f>(((((((((J89)+(J90))+(J91))+(J92))+(J93))+(J94))+(J95))+(J96))+(J97))+(J98)</f>
        <v>217699.81</v>
      </c>
      <c r="K99" s="7">
        <f>(((((((((K89)+(K90))+(K91))+(K92))+(K93))+(K94))+(K95))+(K96))+(K97))+(K98)</f>
        <v>221500</v>
      </c>
      <c r="L99" s="7">
        <f t="shared" si="32"/>
        <v>-3800.1900000000023</v>
      </c>
      <c r="M99" s="8">
        <f t="shared" si="33"/>
        <v>0.98284338600451471</v>
      </c>
      <c r="N99" s="7">
        <f>(((((((((N89)+(N90))+(N91))+(N92))+(N93))+(N94))+(N95))+(N96))+(N97))+(N98)</f>
        <v>0</v>
      </c>
      <c r="O99" s="7">
        <f>(((((((((O89)+(O90))+(O91))+(O92))+(O93))+(O94))+(O95))+(O96))+(O97))+(O98)</f>
        <v>0</v>
      </c>
      <c r="P99" s="7">
        <f t="shared" si="34"/>
        <v>0</v>
      </c>
      <c r="Q99" s="8" t="str">
        <f t="shared" si="35"/>
        <v/>
      </c>
      <c r="R99" s="7">
        <f>(((((((((R89)+(R90))+(R91))+(R92))+(R93))+(R94))+(R95))+(R96))+(R97))+(R98)</f>
        <v>0</v>
      </c>
      <c r="S99" s="7">
        <f>(((((((((S89)+(S90))+(S91))+(S92))+(S93))+(S94))+(S95))+(S96))+(S97))+(S98)</f>
        <v>0</v>
      </c>
      <c r="T99" s="7">
        <f t="shared" si="36"/>
        <v>0</v>
      </c>
      <c r="U99" s="8" t="str">
        <f t="shared" si="37"/>
        <v/>
      </c>
      <c r="V99" s="7">
        <f t="shared" si="38"/>
        <v>217743.8</v>
      </c>
      <c r="W99" s="7">
        <f t="shared" si="39"/>
        <v>221500</v>
      </c>
      <c r="X99" s="7">
        <f t="shared" si="40"/>
        <v>-3756.2000000000116</v>
      </c>
      <c r="Y99" s="8">
        <f t="shared" si="41"/>
        <v>0.98304198645598184</v>
      </c>
    </row>
    <row r="100" spans="1:25" x14ac:dyDescent="0.25">
      <c r="A100" s="3" t="s">
        <v>103</v>
      </c>
      <c r="B100" s="4"/>
      <c r="C100" s="5">
        <f>8000</f>
        <v>8000</v>
      </c>
      <c r="D100" s="5">
        <f t="shared" si="28"/>
        <v>-8000</v>
      </c>
      <c r="E100" s="6">
        <f t="shared" si="29"/>
        <v>0</v>
      </c>
      <c r="F100" s="4"/>
      <c r="G100" s="4"/>
      <c r="H100" s="5">
        <f t="shared" si="30"/>
        <v>0</v>
      </c>
      <c r="I100" s="6" t="str">
        <f t="shared" si="31"/>
        <v/>
      </c>
      <c r="J100" s="5">
        <f>2102.98</f>
        <v>2102.98</v>
      </c>
      <c r="K100" s="4"/>
      <c r="L100" s="5">
        <f t="shared" si="32"/>
        <v>2102.98</v>
      </c>
      <c r="M100" s="6" t="str">
        <f t="shared" si="33"/>
        <v/>
      </c>
      <c r="N100" s="4"/>
      <c r="O100" s="4"/>
      <c r="P100" s="5">
        <f t="shared" si="34"/>
        <v>0</v>
      </c>
      <c r="Q100" s="6" t="str">
        <f t="shared" si="35"/>
        <v/>
      </c>
      <c r="R100" s="4"/>
      <c r="S100" s="4"/>
      <c r="T100" s="5">
        <f t="shared" si="36"/>
        <v>0</v>
      </c>
      <c r="U100" s="6" t="str">
        <f t="shared" si="37"/>
        <v/>
      </c>
      <c r="V100" s="5">
        <f t="shared" si="38"/>
        <v>2102.98</v>
      </c>
      <c r="W100" s="5">
        <f t="shared" si="39"/>
        <v>8000</v>
      </c>
      <c r="X100" s="5">
        <f t="shared" si="40"/>
        <v>-5897.02</v>
      </c>
      <c r="Y100" s="6">
        <f t="shared" si="41"/>
        <v>0.26287250000000001</v>
      </c>
    </row>
    <row r="101" spans="1:25" x14ac:dyDescent="0.25">
      <c r="A101" s="3" t="s">
        <v>104</v>
      </c>
      <c r="B101" s="5">
        <f>6563.04</f>
        <v>6563.04</v>
      </c>
      <c r="C101" s="4"/>
      <c r="D101" s="5">
        <f t="shared" si="28"/>
        <v>6563.04</v>
      </c>
      <c r="E101" s="6" t="str">
        <f t="shared" si="29"/>
        <v/>
      </c>
      <c r="F101" s="5">
        <f>21304.89</f>
        <v>21304.89</v>
      </c>
      <c r="G101" s="4"/>
      <c r="H101" s="5">
        <f t="shared" si="30"/>
        <v>21304.89</v>
      </c>
      <c r="I101" s="6" t="str">
        <f t="shared" si="31"/>
        <v/>
      </c>
      <c r="J101" s="5">
        <f>14969.82</f>
        <v>14969.82</v>
      </c>
      <c r="K101" s="5">
        <f>11000</f>
        <v>11000</v>
      </c>
      <c r="L101" s="5">
        <f t="shared" si="32"/>
        <v>3969.8199999999997</v>
      </c>
      <c r="M101" s="6">
        <f t="shared" si="33"/>
        <v>1.3608927272727271</v>
      </c>
      <c r="N101" s="5">
        <f>942.47</f>
        <v>942.47</v>
      </c>
      <c r="O101" s="4"/>
      <c r="P101" s="5">
        <f t="shared" si="34"/>
        <v>942.47</v>
      </c>
      <c r="Q101" s="6" t="str">
        <f t="shared" si="35"/>
        <v/>
      </c>
      <c r="R101" s="4"/>
      <c r="S101" s="4"/>
      <c r="T101" s="5">
        <f t="shared" si="36"/>
        <v>0</v>
      </c>
      <c r="U101" s="6" t="str">
        <f t="shared" si="37"/>
        <v/>
      </c>
      <c r="V101" s="5">
        <f t="shared" si="38"/>
        <v>43780.22</v>
      </c>
      <c r="W101" s="5">
        <f t="shared" si="39"/>
        <v>11000</v>
      </c>
      <c r="X101" s="5">
        <f t="shared" si="40"/>
        <v>32780.22</v>
      </c>
      <c r="Y101" s="6">
        <f t="shared" si="41"/>
        <v>3.9800200000000001</v>
      </c>
    </row>
    <row r="102" spans="1:25" x14ac:dyDescent="0.25">
      <c r="A102" s="3" t="s">
        <v>105</v>
      </c>
      <c r="B102" s="5">
        <f>490.99</f>
        <v>490.99</v>
      </c>
      <c r="C102" s="4"/>
      <c r="D102" s="5">
        <f t="shared" si="28"/>
        <v>490.99</v>
      </c>
      <c r="E102" s="6" t="str">
        <f t="shared" si="29"/>
        <v/>
      </c>
      <c r="F102" s="5">
        <f>2797.04</f>
        <v>2797.04</v>
      </c>
      <c r="G102" s="4"/>
      <c r="H102" s="5">
        <f t="shared" si="30"/>
        <v>2797.04</v>
      </c>
      <c r="I102" s="6" t="str">
        <f t="shared" si="31"/>
        <v/>
      </c>
      <c r="J102" s="5">
        <f>2961.08</f>
        <v>2961.08</v>
      </c>
      <c r="K102" s="5">
        <f>4600</f>
        <v>4600</v>
      </c>
      <c r="L102" s="5">
        <f t="shared" si="32"/>
        <v>-1638.92</v>
      </c>
      <c r="M102" s="6">
        <f t="shared" si="33"/>
        <v>0.64371304347826086</v>
      </c>
      <c r="N102" s="5">
        <f>106.25</f>
        <v>106.25</v>
      </c>
      <c r="O102" s="4"/>
      <c r="P102" s="5">
        <f t="shared" si="34"/>
        <v>106.25</v>
      </c>
      <c r="Q102" s="6" t="str">
        <f t="shared" si="35"/>
        <v/>
      </c>
      <c r="R102" s="4"/>
      <c r="S102" s="4"/>
      <c r="T102" s="5">
        <f t="shared" si="36"/>
        <v>0</v>
      </c>
      <c r="U102" s="6" t="str">
        <f t="shared" si="37"/>
        <v/>
      </c>
      <c r="V102" s="5">
        <f t="shared" si="38"/>
        <v>6355.36</v>
      </c>
      <c r="W102" s="5">
        <f t="shared" si="39"/>
        <v>4600</v>
      </c>
      <c r="X102" s="5">
        <f t="shared" si="40"/>
        <v>1755.3599999999997</v>
      </c>
      <c r="Y102" s="6">
        <f t="shared" si="41"/>
        <v>1.3815999999999999</v>
      </c>
    </row>
    <row r="103" spans="1:25" x14ac:dyDescent="0.25">
      <c r="A103" s="3" t="s">
        <v>106</v>
      </c>
      <c r="B103" s="5">
        <f>1370.92</f>
        <v>1370.92</v>
      </c>
      <c r="C103" s="4"/>
      <c r="D103" s="5">
        <f t="shared" si="28"/>
        <v>1370.92</v>
      </c>
      <c r="E103" s="6" t="str">
        <f t="shared" si="29"/>
        <v/>
      </c>
      <c r="F103" s="4"/>
      <c r="G103" s="4"/>
      <c r="H103" s="5">
        <f t="shared" si="30"/>
        <v>0</v>
      </c>
      <c r="I103" s="6" t="str">
        <f t="shared" si="31"/>
        <v/>
      </c>
      <c r="J103" s="5">
        <f>632.46</f>
        <v>632.46</v>
      </c>
      <c r="K103" s="5">
        <f>2250</f>
        <v>2250</v>
      </c>
      <c r="L103" s="5">
        <f t="shared" si="32"/>
        <v>-1617.54</v>
      </c>
      <c r="M103" s="6">
        <f t="shared" si="33"/>
        <v>0.28109333333333336</v>
      </c>
      <c r="N103" s="4"/>
      <c r="O103" s="4"/>
      <c r="P103" s="5">
        <f t="shared" si="34"/>
        <v>0</v>
      </c>
      <c r="Q103" s="6" t="str">
        <f t="shared" si="35"/>
        <v/>
      </c>
      <c r="R103" s="4"/>
      <c r="S103" s="4"/>
      <c r="T103" s="5">
        <f t="shared" si="36"/>
        <v>0</v>
      </c>
      <c r="U103" s="6" t="str">
        <f t="shared" si="37"/>
        <v/>
      </c>
      <c r="V103" s="5">
        <f t="shared" si="38"/>
        <v>2003.38</v>
      </c>
      <c r="W103" s="5">
        <f t="shared" si="39"/>
        <v>2250</v>
      </c>
      <c r="X103" s="5">
        <f t="shared" si="40"/>
        <v>-246.61999999999989</v>
      </c>
      <c r="Y103" s="6">
        <f t="shared" si="41"/>
        <v>0.89039111111111113</v>
      </c>
    </row>
    <row r="104" spans="1:25" x14ac:dyDescent="0.25">
      <c r="A104" s="3" t="s">
        <v>107</v>
      </c>
      <c r="B104" s="5">
        <f>1312.15</f>
        <v>1312.15</v>
      </c>
      <c r="C104" s="4"/>
      <c r="D104" s="5">
        <f t="shared" si="28"/>
        <v>1312.15</v>
      </c>
      <c r="E104" s="6" t="str">
        <f t="shared" si="29"/>
        <v/>
      </c>
      <c r="F104" s="5">
        <f>8931.81</f>
        <v>8931.81</v>
      </c>
      <c r="G104" s="4"/>
      <c r="H104" s="5">
        <f t="shared" si="30"/>
        <v>8931.81</v>
      </c>
      <c r="I104" s="6" t="str">
        <f t="shared" si="31"/>
        <v/>
      </c>
      <c r="J104" s="5">
        <f>12656.4</f>
        <v>12656.4</v>
      </c>
      <c r="K104" s="5">
        <f>3725</f>
        <v>3725</v>
      </c>
      <c r="L104" s="5">
        <f t="shared" si="32"/>
        <v>8931.4</v>
      </c>
      <c r="M104" s="6">
        <f t="shared" si="33"/>
        <v>3.397691275167785</v>
      </c>
      <c r="N104" s="5">
        <f>842.51</f>
        <v>842.51</v>
      </c>
      <c r="O104" s="4"/>
      <c r="P104" s="5">
        <f t="shared" si="34"/>
        <v>842.51</v>
      </c>
      <c r="Q104" s="6" t="str">
        <f t="shared" si="35"/>
        <v/>
      </c>
      <c r="R104" s="4"/>
      <c r="S104" s="4"/>
      <c r="T104" s="5">
        <f t="shared" si="36"/>
        <v>0</v>
      </c>
      <c r="U104" s="6" t="str">
        <f t="shared" si="37"/>
        <v/>
      </c>
      <c r="V104" s="5">
        <f t="shared" si="38"/>
        <v>23742.87</v>
      </c>
      <c r="W104" s="5">
        <f t="shared" si="39"/>
        <v>3725</v>
      </c>
      <c r="X104" s="5">
        <f t="shared" si="40"/>
        <v>20017.87</v>
      </c>
      <c r="Y104" s="6">
        <f t="shared" si="41"/>
        <v>6.3739248322147652</v>
      </c>
    </row>
    <row r="105" spans="1:25" x14ac:dyDescent="0.25">
      <c r="A105" s="3" t="s">
        <v>108</v>
      </c>
      <c r="B105" s="7">
        <f>((((B100)+(B101))+(B102))+(B103))+(B104)</f>
        <v>9737.1</v>
      </c>
      <c r="C105" s="7">
        <f>((((C100)+(C101))+(C102))+(C103))+(C104)</f>
        <v>8000</v>
      </c>
      <c r="D105" s="7">
        <f t="shared" si="28"/>
        <v>1737.1000000000004</v>
      </c>
      <c r="E105" s="8">
        <f t="shared" si="29"/>
        <v>1.2171375</v>
      </c>
      <c r="F105" s="7">
        <f>((((F100)+(F101))+(F102))+(F103))+(F104)</f>
        <v>33033.74</v>
      </c>
      <c r="G105" s="7">
        <f>((((G100)+(G101))+(G102))+(G103))+(G104)</f>
        <v>0</v>
      </c>
      <c r="H105" s="7">
        <f t="shared" si="30"/>
        <v>33033.74</v>
      </c>
      <c r="I105" s="8" t="str">
        <f t="shared" si="31"/>
        <v/>
      </c>
      <c r="J105" s="7">
        <f>((((J100)+(J101))+(J102))+(J103))+(J104)</f>
        <v>33322.74</v>
      </c>
      <c r="K105" s="7">
        <f>((((K100)+(K101))+(K102))+(K103))+(K104)</f>
        <v>21575</v>
      </c>
      <c r="L105" s="7">
        <f t="shared" si="32"/>
        <v>11747.739999999998</v>
      </c>
      <c r="M105" s="8">
        <f t="shared" si="33"/>
        <v>1.5445070683661644</v>
      </c>
      <c r="N105" s="7">
        <f>((((N100)+(N101))+(N102))+(N103))+(N104)</f>
        <v>1891.23</v>
      </c>
      <c r="O105" s="7">
        <f>((((O100)+(O101))+(O102))+(O103))+(O104)</f>
        <v>0</v>
      </c>
      <c r="P105" s="7">
        <f t="shared" si="34"/>
        <v>1891.23</v>
      </c>
      <c r="Q105" s="8" t="str">
        <f t="shared" si="35"/>
        <v/>
      </c>
      <c r="R105" s="7">
        <f>((((R100)+(R101))+(R102))+(R103))+(R104)</f>
        <v>0</v>
      </c>
      <c r="S105" s="7">
        <f>((((S100)+(S101))+(S102))+(S103))+(S104)</f>
        <v>0</v>
      </c>
      <c r="T105" s="7">
        <f t="shared" si="36"/>
        <v>0</v>
      </c>
      <c r="U105" s="8" t="str">
        <f t="shared" si="37"/>
        <v/>
      </c>
      <c r="V105" s="7">
        <f t="shared" si="38"/>
        <v>77984.809999999983</v>
      </c>
      <c r="W105" s="7">
        <f t="shared" si="39"/>
        <v>29575</v>
      </c>
      <c r="X105" s="7">
        <f t="shared" si="40"/>
        <v>48409.809999999983</v>
      </c>
      <c r="Y105" s="8">
        <f t="shared" si="41"/>
        <v>2.6368490278951811</v>
      </c>
    </row>
    <row r="106" spans="1:25" x14ac:dyDescent="0.25">
      <c r="A106" s="3" t="s">
        <v>109</v>
      </c>
      <c r="B106" s="5">
        <f>1050</f>
        <v>1050</v>
      </c>
      <c r="C106" s="4"/>
      <c r="D106" s="5">
        <f t="shared" si="28"/>
        <v>1050</v>
      </c>
      <c r="E106" s="6" t="str">
        <f t="shared" si="29"/>
        <v/>
      </c>
      <c r="F106" s="4"/>
      <c r="G106" s="4"/>
      <c r="H106" s="5">
        <f t="shared" si="30"/>
        <v>0</v>
      </c>
      <c r="I106" s="6" t="str">
        <f t="shared" si="31"/>
        <v/>
      </c>
      <c r="J106" s="5">
        <f>2357.5</f>
        <v>2357.5</v>
      </c>
      <c r="K106" s="4"/>
      <c r="L106" s="5">
        <f t="shared" si="32"/>
        <v>2357.5</v>
      </c>
      <c r="M106" s="6" t="str">
        <f t="shared" si="33"/>
        <v/>
      </c>
      <c r="N106" s="5">
        <f>5.5</f>
        <v>5.5</v>
      </c>
      <c r="O106" s="4"/>
      <c r="P106" s="5">
        <f t="shared" si="34"/>
        <v>5.5</v>
      </c>
      <c r="Q106" s="6" t="str">
        <f t="shared" si="35"/>
        <v/>
      </c>
      <c r="R106" s="4"/>
      <c r="S106" s="4"/>
      <c r="T106" s="5">
        <f t="shared" si="36"/>
        <v>0</v>
      </c>
      <c r="U106" s="6" t="str">
        <f t="shared" si="37"/>
        <v/>
      </c>
      <c r="V106" s="5">
        <f t="shared" si="38"/>
        <v>3413</v>
      </c>
      <c r="W106" s="5">
        <f t="shared" si="39"/>
        <v>0</v>
      </c>
      <c r="X106" s="5">
        <f t="shared" si="40"/>
        <v>3413</v>
      </c>
      <c r="Y106" s="6" t="str">
        <f t="shared" si="41"/>
        <v/>
      </c>
    </row>
    <row r="107" spans="1:25" x14ac:dyDescent="0.25">
      <c r="A107" s="3" t="s">
        <v>110</v>
      </c>
      <c r="B107" s="4"/>
      <c r="C107" s="4"/>
      <c r="D107" s="5">
        <f t="shared" si="28"/>
        <v>0</v>
      </c>
      <c r="E107" s="6" t="str">
        <f t="shared" si="29"/>
        <v/>
      </c>
      <c r="F107" s="4"/>
      <c r="G107" s="4"/>
      <c r="H107" s="5">
        <f t="shared" si="30"/>
        <v>0</v>
      </c>
      <c r="I107" s="6" t="str">
        <f t="shared" si="31"/>
        <v/>
      </c>
      <c r="J107" s="5">
        <f>60966.63</f>
        <v>60966.63</v>
      </c>
      <c r="K107" s="5">
        <f>63000</f>
        <v>63000</v>
      </c>
      <c r="L107" s="5">
        <f t="shared" si="32"/>
        <v>-2033.3700000000026</v>
      </c>
      <c r="M107" s="6">
        <f t="shared" si="33"/>
        <v>0.9677242857142857</v>
      </c>
      <c r="N107" s="4"/>
      <c r="O107" s="4"/>
      <c r="P107" s="5">
        <f t="shared" si="34"/>
        <v>0</v>
      </c>
      <c r="Q107" s="6" t="str">
        <f t="shared" si="35"/>
        <v/>
      </c>
      <c r="R107" s="4"/>
      <c r="S107" s="4"/>
      <c r="T107" s="5">
        <f t="shared" si="36"/>
        <v>0</v>
      </c>
      <c r="U107" s="6" t="str">
        <f t="shared" si="37"/>
        <v/>
      </c>
      <c r="V107" s="5">
        <f t="shared" si="38"/>
        <v>60966.63</v>
      </c>
      <c r="W107" s="5">
        <f t="shared" si="39"/>
        <v>63000</v>
      </c>
      <c r="X107" s="5">
        <f t="shared" si="40"/>
        <v>-2033.3700000000026</v>
      </c>
      <c r="Y107" s="6">
        <f t="shared" si="41"/>
        <v>0.9677242857142857</v>
      </c>
    </row>
    <row r="108" spans="1:25" x14ac:dyDescent="0.25">
      <c r="A108" s="3" t="s">
        <v>111</v>
      </c>
      <c r="B108" s="5">
        <f>11915.23</f>
        <v>11915.23</v>
      </c>
      <c r="C108" s="4"/>
      <c r="D108" s="5">
        <f t="shared" si="28"/>
        <v>11915.23</v>
      </c>
      <c r="E108" s="6" t="str">
        <f t="shared" si="29"/>
        <v/>
      </c>
      <c r="F108" s="4"/>
      <c r="G108" s="4"/>
      <c r="H108" s="5">
        <f t="shared" si="30"/>
        <v>0</v>
      </c>
      <c r="I108" s="6" t="str">
        <f t="shared" si="31"/>
        <v/>
      </c>
      <c r="J108" s="5">
        <f>6242.88</f>
        <v>6242.88</v>
      </c>
      <c r="K108" s="5">
        <f>12500</f>
        <v>12500</v>
      </c>
      <c r="L108" s="5">
        <f t="shared" si="32"/>
        <v>-6257.12</v>
      </c>
      <c r="M108" s="6">
        <f t="shared" si="33"/>
        <v>0.4994304</v>
      </c>
      <c r="N108" s="5">
        <f>597</f>
        <v>597</v>
      </c>
      <c r="O108" s="4"/>
      <c r="P108" s="5">
        <f t="shared" si="34"/>
        <v>597</v>
      </c>
      <c r="Q108" s="6" t="str">
        <f t="shared" si="35"/>
        <v/>
      </c>
      <c r="R108" s="4"/>
      <c r="S108" s="4"/>
      <c r="T108" s="5">
        <f t="shared" si="36"/>
        <v>0</v>
      </c>
      <c r="U108" s="6" t="str">
        <f t="shared" si="37"/>
        <v/>
      </c>
      <c r="V108" s="5">
        <f t="shared" si="38"/>
        <v>18755.11</v>
      </c>
      <c r="W108" s="5">
        <f t="shared" si="39"/>
        <v>12500</v>
      </c>
      <c r="X108" s="5">
        <f t="shared" si="40"/>
        <v>6255.1100000000006</v>
      </c>
      <c r="Y108" s="6">
        <f t="shared" si="41"/>
        <v>1.5004088</v>
      </c>
    </row>
    <row r="109" spans="1:25" x14ac:dyDescent="0.25">
      <c r="A109" s="3" t="s">
        <v>112</v>
      </c>
      <c r="B109" s="5">
        <f>38000</f>
        <v>38000</v>
      </c>
      <c r="C109" s="5">
        <f>95000</f>
        <v>95000</v>
      </c>
      <c r="D109" s="5">
        <f t="shared" si="28"/>
        <v>-57000</v>
      </c>
      <c r="E109" s="6">
        <f t="shared" si="29"/>
        <v>0.4</v>
      </c>
      <c r="F109" s="5">
        <f>27123.67</f>
        <v>27123.67</v>
      </c>
      <c r="G109" s="5">
        <f>10000</f>
        <v>10000</v>
      </c>
      <c r="H109" s="5">
        <f t="shared" si="30"/>
        <v>17123.669999999998</v>
      </c>
      <c r="I109" s="6">
        <f t="shared" si="31"/>
        <v>2.712367</v>
      </c>
      <c r="J109" s="5">
        <f>202449.69</f>
        <v>202449.69</v>
      </c>
      <c r="K109" s="5">
        <f>223000</f>
        <v>223000</v>
      </c>
      <c r="L109" s="5">
        <f t="shared" si="32"/>
        <v>-20550.309999999998</v>
      </c>
      <c r="M109" s="6">
        <f t="shared" si="33"/>
        <v>0.90784614349775783</v>
      </c>
      <c r="N109" s="4"/>
      <c r="O109" s="5">
        <f>20000</f>
        <v>20000</v>
      </c>
      <c r="P109" s="5">
        <f t="shared" si="34"/>
        <v>-20000</v>
      </c>
      <c r="Q109" s="6">
        <f t="shared" si="35"/>
        <v>0</v>
      </c>
      <c r="R109" s="4"/>
      <c r="S109" s="4"/>
      <c r="T109" s="5">
        <f t="shared" si="36"/>
        <v>0</v>
      </c>
      <c r="U109" s="6" t="str">
        <f t="shared" si="37"/>
        <v/>
      </c>
      <c r="V109" s="5">
        <f t="shared" si="38"/>
        <v>267573.36</v>
      </c>
      <c r="W109" s="5">
        <f t="shared" si="39"/>
        <v>348000</v>
      </c>
      <c r="X109" s="5">
        <f t="shared" si="40"/>
        <v>-80426.640000000014</v>
      </c>
      <c r="Y109" s="6">
        <f t="shared" si="41"/>
        <v>0.76888896551724129</v>
      </c>
    </row>
    <row r="110" spans="1:25" x14ac:dyDescent="0.25">
      <c r="A110" s="3" t="s">
        <v>113</v>
      </c>
      <c r="B110" s="4"/>
      <c r="C110" s="4"/>
      <c r="D110" s="5">
        <f t="shared" si="28"/>
        <v>0</v>
      </c>
      <c r="E110" s="6" t="str">
        <f t="shared" si="29"/>
        <v/>
      </c>
      <c r="F110" s="4"/>
      <c r="G110" s="4"/>
      <c r="H110" s="5">
        <f t="shared" si="30"/>
        <v>0</v>
      </c>
      <c r="I110" s="6" t="str">
        <f t="shared" si="31"/>
        <v/>
      </c>
      <c r="J110" s="5">
        <f>6422.71</f>
        <v>6422.71</v>
      </c>
      <c r="K110" s="5">
        <f>11000</f>
        <v>11000</v>
      </c>
      <c r="L110" s="5">
        <f t="shared" si="32"/>
        <v>-4577.29</v>
      </c>
      <c r="M110" s="6">
        <f t="shared" si="33"/>
        <v>0.58388272727272728</v>
      </c>
      <c r="N110" s="4"/>
      <c r="O110" s="4"/>
      <c r="P110" s="5">
        <f t="shared" si="34"/>
        <v>0</v>
      </c>
      <c r="Q110" s="6" t="str">
        <f t="shared" si="35"/>
        <v/>
      </c>
      <c r="R110" s="4"/>
      <c r="S110" s="4"/>
      <c r="T110" s="5">
        <f t="shared" si="36"/>
        <v>0</v>
      </c>
      <c r="U110" s="6" t="str">
        <f t="shared" si="37"/>
        <v/>
      </c>
      <c r="V110" s="5">
        <f t="shared" si="38"/>
        <v>6422.71</v>
      </c>
      <c r="W110" s="5">
        <f t="shared" si="39"/>
        <v>11000</v>
      </c>
      <c r="X110" s="5">
        <f t="shared" si="40"/>
        <v>-4577.29</v>
      </c>
      <c r="Y110" s="6">
        <f t="shared" si="41"/>
        <v>0.58388272727272728</v>
      </c>
    </row>
    <row r="111" spans="1:25" x14ac:dyDescent="0.25">
      <c r="A111" s="3" t="s">
        <v>114</v>
      </c>
      <c r="B111" s="4"/>
      <c r="C111" s="5">
        <f>25000</f>
        <v>25000</v>
      </c>
      <c r="D111" s="5">
        <f t="shared" si="28"/>
        <v>-25000</v>
      </c>
      <c r="E111" s="6">
        <f t="shared" si="29"/>
        <v>0</v>
      </c>
      <c r="F111" s="5">
        <f>16000</f>
        <v>16000</v>
      </c>
      <c r="G111" s="4"/>
      <c r="H111" s="5">
        <f t="shared" si="30"/>
        <v>16000</v>
      </c>
      <c r="I111" s="6" t="str">
        <f t="shared" si="31"/>
        <v/>
      </c>
      <c r="J111" s="4"/>
      <c r="K111" s="5">
        <f>20500</f>
        <v>20500</v>
      </c>
      <c r="L111" s="5">
        <f t="shared" si="32"/>
        <v>-20500</v>
      </c>
      <c r="M111" s="6">
        <f t="shared" si="33"/>
        <v>0</v>
      </c>
      <c r="N111" s="5">
        <f>487.5</f>
        <v>487.5</v>
      </c>
      <c r="O111" s="5">
        <f>15500</f>
        <v>15500</v>
      </c>
      <c r="P111" s="5">
        <f t="shared" si="34"/>
        <v>-15012.5</v>
      </c>
      <c r="Q111" s="6">
        <f t="shared" si="35"/>
        <v>3.1451612903225803E-2</v>
      </c>
      <c r="R111" s="4"/>
      <c r="S111" s="4"/>
      <c r="T111" s="5">
        <f t="shared" si="36"/>
        <v>0</v>
      </c>
      <c r="U111" s="6" t="str">
        <f t="shared" si="37"/>
        <v/>
      </c>
      <c r="V111" s="5">
        <f t="shared" si="38"/>
        <v>16487.5</v>
      </c>
      <c r="W111" s="5">
        <f t="shared" si="39"/>
        <v>61000</v>
      </c>
      <c r="X111" s="5">
        <f t="shared" si="40"/>
        <v>-44512.5</v>
      </c>
      <c r="Y111" s="6">
        <f t="shared" si="41"/>
        <v>0.27028688524590166</v>
      </c>
    </row>
    <row r="112" spans="1:25" x14ac:dyDescent="0.25">
      <c r="A112" s="3" t="s">
        <v>115</v>
      </c>
      <c r="B112" s="4"/>
      <c r="C112" s="4"/>
      <c r="D112" s="5">
        <f t="shared" si="28"/>
        <v>0</v>
      </c>
      <c r="E112" s="6" t="str">
        <f t="shared" si="29"/>
        <v/>
      </c>
      <c r="F112" s="4"/>
      <c r="G112" s="4"/>
      <c r="H112" s="5">
        <f t="shared" si="30"/>
        <v>0</v>
      </c>
      <c r="I112" s="6" t="str">
        <f t="shared" si="31"/>
        <v/>
      </c>
      <c r="J112" s="4"/>
      <c r="K112" s="5">
        <f>12000</f>
        <v>12000</v>
      </c>
      <c r="L112" s="5">
        <f t="shared" si="32"/>
        <v>-12000</v>
      </c>
      <c r="M112" s="6">
        <f t="shared" si="33"/>
        <v>0</v>
      </c>
      <c r="N112" s="4"/>
      <c r="O112" s="4"/>
      <c r="P112" s="5">
        <f t="shared" si="34"/>
        <v>0</v>
      </c>
      <c r="Q112" s="6" t="str">
        <f t="shared" si="35"/>
        <v/>
      </c>
      <c r="R112" s="4"/>
      <c r="S112" s="4"/>
      <c r="T112" s="5">
        <f t="shared" si="36"/>
        <v>0</v>
      </c>
      <c r="U112" s="6" t="str">
        <f t="shared" si="37"/>
        <v/>
      </c>
      <c r="V112" s="5">
        <f t="shared" si="38"/>
        <v>0</v>
      </c>
      <c r="W112" s="5">
        <f t="shared" si="39"/>
        <v>12000</v>
      </c>
      <c r="X112" s="5">
        <f t="shared" si="40"/>
        <v>-12000</v>
      </c>
      <c r="Y112" s="6">
        <f t="shared" si="41"/>
        <v>0</v>
      </c>
    </row>
    <row r="113" spans="1:25" x14ac:dyDescent="0.25">
      <c r="A113" s="3" t="s">
        <v>116</v>
      </c>
      <c r="B113" s="7">
        <f>((((((B106)+(B107))+(B108))+(B109))+(B110))+(B111))+(B112)</f>
        <v>50965.229999999996</v>
      </c>
      <c r="C113" s="7">
        <f>((((((C106)+(C107))+(C108))+(C109))+(C110))+(C111))+(C112)</f>
        <v>120000</v>
      </c>
      <c r="D113" s="7">
        <f t="shared" si="28"/>
        <v>-69034.77</v>
      </c>
      <c r="E113" s="8">
        <f t="shared" si="29"/>
        <v>0.42471024999999996</v>
      </c>
      <c r="F113" s="7">
        <f>((((((F106)+(F107))+(F108))+(F109))+(F110))+(F111))+(F112)</f>
        <v>43123.67</v>
      </c>
      <c r="G113" s="7">
        <f>((((((G106)+(G107))+(G108))+(G109))+(G110))+(G111))+(G112)</f>
        <v>10000</v>
      </c>
      <c r="H113" s="7">
        <f t="shared" si="30"/>
        <v>33123.67</v>
      </c>
      <c r="I113" s="8">
        <f t="shared" si="31"/>
        <v>4.3123670000000001</v>
      </c>
      <c r="J113" s="7">
        <f>((((((J106)+(J107))+(J108))+(J109))+(J110))+(J111))+(J112)</f>
        <v>278439.41000000003</v>
      </c>
      <c r="K113" s="7">
        <f>((((((K106)+(K107))+(K108))+(K109))+(K110))+(K111))+(K112)</f>
        <v>342000</v>
      </c>
      <c r="L113" s="7">
        <f t="shared" si="32"/>
        <v>-63560.589999999967</v>
      </c>
      <c r="M113" s="8">
        <f t="shared" si="33"/>
        <v>0.81415032163742695</v>
      </c>
      <c r="N113" s="7">
        <f>((((((N106)+(N107))+(N108))+(N109))+(N110))+(N111))+(N112)</f>
        <v>1090</v>
      </c>
      <c r="O113" s="7">
        <f>((((((O106)+(O107))+(O108))+(O109))+(O110))+(O111))+(O112)</f>
        <v>35500</v>
      </c>
      <c r="P113" s="7">
        <f t="shared" si="34"/>
        <v>-34410</v>
      </c>
      <c r="Q113" s="8">
        <f t="shared" si="35"/>
        <v>3.0704225352112677E-2</v>
      </c>
      <c r="R113" s="7">
        <f>((((((R106)+(R107))+(R108))+(R109))+(R110))+(R111))+(R112)</f>
        <v>0</v>
      </c>
      <c r="S113" s="7">
        <f>((((((S106)+(S107))+(S108))+(S109))+(S110))+(S111))+(S112)</f>
        <v>0</v>
      </c>
      <c r="T113" s="7">
        <f t="shared" si="36"/>
        <v>0</v>
      </c>
      <c r="U113" s="8" t="str">
        <f t="shared" si="37"/>
        <v/>
      </c>
      <c r="V113" s="7">
        <f t="shared" si="38"/>
        <v>373618.31000000006</v>
      </c>
      <c r="W113" s="7">
        <f t="shared" si="39"/>
        <v>507500</v>
      </c>
      <c r="X113" s="7">
        <f t="shared" si="40"/>
        <v>-133881.68999999994</v>
      </c>
      <c r="Y113" s="8">
        <f t="shared" si="41"/>
        <v>0.73619371428571445</v>
      </c>
    </row>
    <row r="114" spans="1:25" x14ac:dyDescent="0.25">
      <c r="A114" s="3" t="s">
        <v>117</v>
      </c>
      <c r="B114" s="5">
        <f>3031.5</f>
        <v>3031.5</v>
      </c>
      <c r="C114" s="5">
        <f>5000</f>
        <v>5000</v>
      </c>
      <c r="D114" s="5">
        <f t="shared" si="28"/>
        <v>-1968.5</v>
      </c>
      <c r="E114" s="6">
        <f t="shared" si="29"/>
        <v>0.60629999999999995</v>
      </c>
      <c r="F114" s="4"/>
      <c r="G114" s="4"/>
      <c r="H114" s="5">
        <f t="shared" si="30"/>
        <v>0</v>
      </c>
      <c r="I114" s="6" t="str">
        <f t="shared" si="31"/>
        <v/>
      </c>
      <c r="J114" s="4"/>
      <c r="K114" s="5">
        <f>5000</f>
        <v>5000</v>
      </c>
      <c r="L114" s="5">
        <f t="shared" si="32"/>
        <v>-5000</v>
      </c>
      <c r="M114" s="6">
        <f t="shared" si="33"/>
        <v>0</v>
      </c>
      <c r="N114" s="4"/>
      <c r="O114" s="4"/>
      <c r="P114" s="5">
        <f t="shared" si="34"/>
        <v>0</v>
      </c>
      <c r="Q114" s="6" t="str">
        <f t="shared" si="35"/>
        <v/>
      </c>
      <c r="R114" s="4"/>
      <c r="S114" s="4"/>
      <c r="T114" s="5">
        <f t="shared" si="36"/>
        <v>0</v>
      </c>
      <c r="U114" s="6" t="str">
        <f t="shared" si="37"/>
        <v/>
      </c>
      <c r="V114" s="5">
        <f t="shared" si="38"/>
        <v>3031.5</v>
      </c>
      <c r="W114" s="5">
        <f t="shared" si="39"/>
        <v>10000</v>
      </c>
      <c r="X114" s="5">
        <f t="shared" si="40"/>
        <v>-6968.5</v>
      </c>
      <c r="Y114" s="6">
        <f t="shared" si="41"/>
        <v>0.30314999999999998</v>
      </c>
    </row>
    <row r="115" spans="1:25" x14ac:dyDescent="0.25">
      <c r="A115" s="3" t="s">
        <v>118</v>
      </c>
      <c r="B115" s="4"/>
      <c r="C115" s="5">
        <f>22500</f>
        <v>22500</v>
      </c>
      <c r="D115" s="5">
        <f t="shared" si="28"/>
        <v>-22500</v>
      </c>
      <c r="E115" s="6">
        <f t="shared" si="29"/>
        <v>0</v>
      </c>
      <c r="F115" s="5">
        <f>167512.43</f>
        <v>167512.43</v>
      </c>
      <c r="G115" s="5">
        <f>160000</f>
        <v>160000</v>
      </c>
      <c r="H115" s="5">
        <f t="shared" si="30"/>
        <v>7512.429999999993</v>
      </c>
      <c r="I115" s="6">
        <f t="shared" si="31"/>
        <v>1.0469526874999999</v>
      </c>
      <c r="J115" s="5">
        <f>427.15</f>
        <v>427.15</v>
      </c>
      <c r="K115" s="4"/>
      <c r="L115" s="5">
        <f t="shared" si="32"/>
        <v>427.15</v>
      </c>
      <c r="M115" s="6" t="str">
        <f t="shared" si="33"/>
        <v/>
      </c>
      <c r="N115" s="5">
        <f>16257.68</f>
        <v>16257.68</v>
      </c>
      <c r="O115" s="5">
        <f>40000</f>
        <v>40000</v>
      </c>
      <c r="P115" s="5">
        <f t="shared" si="34"/>
        <v>-23742.32</v>
      </c>
      <c r="Q115" s="6">
        <f t="shared" si="35"/>
        <v>0.40644200000000003</v>
      </c>
      <c r="R115" s="4"/>
      <c r="S115" s="4"/>
      <c r="T115" s="5">
        <f t="shared" si="36"/>
        <v>0</v>
      </c>
      <c r="U115" s="6" t="str">
        <f t="shared" si="37"/>
        <v/>
      </c>
      <c r="V115" s="5">
        <f t="shared" si="38"/>
        <v>184197.25999999998</v>
      </c>
      <c r="W115" s="5">
        <f t="shared" si="39"/>
        <v>222500</v>
      </c>
      <c r="X115" s="5">
        <f t="shared" si="40"/>
        <v>-38302.74000000002</v>
      </c>
      <c r="Y115" s="6">
        <f t="shared" si="41"/>
        <v>0.82785285393258423</v>
      </c>
    </row>
    <row r="116" spans="1:25" x14ac:dyDescent="0.25">
      <c r="A116" s="3" t="s">
        <v>119</v>
      </c>
      <c r="B116" s="4"/>
      <c r="C116" s="4"/>
      <c r="D116" s="5">
        <f t="shared" ref="D116:D132" si="42">(B116)-(C116)</f>
        <v>0</v>
      </c>
      <c r="E116" s="6" t="str">
        <f t="shared" ref="E116:E132" si="43">IF(C116=0,"",(B116)/(C116))</f>
        <v/>
      </c>
      <c r="F116" s="4"/>
      <c r="G116" s="4"/>
      <c r="H116" s="5">
        <f t="shared" ref="H116:H132" si="44">(F116)-(G116)</f>
        <v>0</v>
      </c>
      <c r="I116" s="6" t="str">
        <f t="shared" ref="I116:I132" si="45">IF(G116=0,"",(F116)/(G116))</f>
        <v/>
      </c>
      <c r="J116" s="5">
        <f>9952.35</f>
        <v>9952.35</v>
      </c>
      <c r="K116" s="4"/>
      <c r="L116" s="5">
        <f t="shared" ref="L116:L132" si="46">(J116)-(K116)</f>
        <v>9952.35</v>
      </c>
      <c r="M116" s="6" t="str">
        <f t="shared" ref="M116:M132" si="47">IF(K116=0,"",(J116)/(K116))</f>
        <v/>
      </c>
      <c r="N116" s="5">
        <f>292960.55</f>
        <v>292960.55</v>
      </c>
      <c r="O116" s="4"/>
      <c r="P116" s="5">
        <f t="shared" ref="P116:P132" si="48">(N116)-(O116)</f>
        <v>292960.55</v>
      </c>
      <c r="Q116" s="6" t="str">
        <f t="shared" ref="Q116:Q132" si="49">IF(O116=0,"",(N116)/(O116))</f>
        <v/>
      </c>
      <c r="R116" s="4"/>
      <c r="S116" s="4"/>
      <c r="T116" s="5">
        <f t="shared" ref="T116:T132" si="50">(R116)-(S116)</f>
        <v>0</v>
      </c>
      <c r="U116" s="6" t="str">
        <f t="shared" ref="U116:U132" si="51">IF(S116=0,"",(R116)/(S116))</f>
        <v/>
      </c>
      <c r="V116" s="5">
        <f t="shared" ref="V116:V132" si="52">((((B116)+(F116))+(J116))+(N116))+(R116)</f>
        <v>302912.89999999997</v>
      </c>
      <c r="W116" s="5">
        <f t="shared" ref="W116:W132" si="53">((((C116)+(G116))+(K116))+(O116))+(S116)</f>
        <v>0</v>
      </c>
      <c r="X116" s="5">
        <f t="shared" ref="X116:X132" si="54">(V116)-(W116)</f>
        <v>302912.89999999997</v>
      </c>
      <c r="Y116" s="6" t="str">
        <f t="shared" ref="Y116:Y132" si="55">IF(W116=0,"",(V116)/(W116))</f>
        <v/>
      </c>
    </row>
    <row r="117" spans="1:25" x14ac:dyDescent="0.25">
      <c r="A117" s="3" t="s">
        <v>120</v>
      </c>
      <c r="B117" s="5">
        <f>2956.45</f>
        <v>2956.45</v>
      </c>
      <c r="C117" s="5">
        <f>30000</f>
        <v>30000</v>
      </c>
      <c r="D117" s="5">
        <f t="shared" si="42"/>
        <v>-27043.55</v>
      </c>
      <c r="E117" s="6">
        <f t="shared" si="43"/>
        <v>9.8548333333333321E-2</v>
      </c>
      <c r="F117" s="5">
        <f>10326.5</f>
        <v>10326.5</v>
      </c>
      <c r="G117" s="4"/>
      <c r="H117" s="5">
        <f t="shared" si="44"/>
        <v>10326.5</v>
      </c>
      <c r="I117" s="6" t="str">
        <f t="shared" si="45"/>
        <v/>
      </c>
      <c r="J117" s="5">
        <f>7671.88</f>
        <v>7671.88</v>
      </c>
      <c r="K117" s="5">
        <f>5000</f>
        <v>5000</v>
      </c>
      <c r="L117" s="5">
        <f t="shared" si="46"/>
        <v>2671.88</v>
      </c>
      <c r="M117" s="6">
        <f t="shared" si="47"/>
        <v>1.534376</v>
      </c>
      <c r="N117" s="4"/>
      <c r="O117" s="4"/>
      <c r="P117" s="5">
        <f t="shared" si="48"/>
        <v>0</v>
      </c>
      <c r="Q117" s="6" t="str">
        <f t="shared" si="49"/>
        <v/>
      </c>
      <c r="R117" s="4"/>
      <c r="S117" s="4"/>
      <c r="T117" s="5">
        <f t="shared" si="50"/>
        <v>0</v>
      </c>
      <c r="U117" s="6" t="str">
        <f t="shared" si="51"/>
        <v/>
      </c>
      <c r="V117" s="5">
        <f t="shared" si="52"/>
        <v>20954.830000000002</v>
      </c>
      <c r="W117" s="5">
        <f t="shared" si="53"/>
        <v>35000</v>
      </c>
      <c r="X117" s="5">
        <f t="shared" si="54"/>
        <v>-14045.169999999998</v>
      </c>
      <c r="Y117" s="6">
        <f t="shared" si="55"/>
        <v>0.59870942857142861</v>
      </c>
    </row>
    <row r="118" spans="1:25" x14ac:dyDescent="0.25">
      <c r="A118" s="3" t="s">
        <v>121</v>
      </c>
      <c r="B118" s="4"/>
      <c r="C118" s="4"/>
      <c r="D118" s="5">
        <f t="shared" si="42"/>
        <v>0</v>
      </c>
      <c r="E118" s="6" t="str">
        <f t="shared" si="43"/>
        <v/>
      </c>
      <c r="F118" s="5">
        <f>10762.6</f>
        <v>10762.6</v>
      </c>
      <c r="G118" s="4"/>
      <c r="H118" s="5">
        <f t="shared" si="44"/>
        <v>10762.6</v>
      </c>
      <c r="I118" s="6" t="str">
        <f t="shared" si="45"/>
        <v/>
      </c>
      <c r="J118" s="4"/>
      <c r="K118" s="4"/>
      <c r="L118" s="5">
        <f t="shared" si="46"/>
        <v>0</v>
      </c>
      <c r="M118" s="6" t="str">
        <f t="shared" si="47"/>
        <v/>
      </c>
      <c r="N118" s="4"/>
      <c r="O118" s="4"/>
      <c r="P118" s="5">
        <f t="shared" si="48"/>
        <v>0</v>
      </c>
      <c r="Q118" s="6" t="str">
        <f t="shared" si="49"/>
        <v/>
      </c>
      <c r="R118" s="4"/>
      <c r="S118" s="4"/>
      <c r="T118" s="5">
        <f t="shared" si="50"/>
        <v>0</v>
      </c>
      <c r="U118" s="6" t="str">
        <f t="shared" si="51"/>
        <v/>
      </c>
      <c r="V118" s="5">
        <f t="shared" si="52"/>
        <v>10762.6</v>
      </c>
      <c r="W118" s="5">
        <f t="shared" si="53"/>
        <v>0</v>
      </c>
      <c r="X118" s="5">
        <f t="shared" si="54"/>
        <v>10762.6</v>
      </c>
      <c r="Y118" s="6" t="str">
        <f t="shared" si="55"/>
        <v/>
      </c>
    </row>
    <row r="119" spans="1:25" x14ac:dyDescent="0.25">
      <c r="A119" s="3" t="s">
        <v>122</v>
      </c>
      <c r="B119" s="4"/>
      <c r="C119" s="4"/>
      <c r="D119" s="5">
        <f t="shared" si="42"/>
        <v>0</v>
      </c>
      <c r="E119" s="6" t="str">
        <f t="shared" si="43"/>
        <v/>
      </c>
      <c r="F119" s="4"/>
      <c r="G119" s="4"/>
      <c r="H119" s="5">
        <f t="shared" si="44"/>
        <v>0</v>
      </c>
      <c r="I119" s="6" t="str">
        <f t="shared" si="45"/>
        <v/>
      </c>
      <c r="J119" s="4"/>
      <c r="K119" s="4"/>
      <c r="L119" s="5">
        <f t="shared" si="46"/>
        <v>0</v>
      </c>
      <c r="M119" s="6" t="str">
        <f t="shared" si="47"/>
        <v/>
      </c>
      <c r="N119" s="5">
        <f>512.31</f>
        <v>512.30999999999995</v>
      </c>
      <c r="O119" s="4"/>
      <c r="P119" s="5">
        <f t="shared" si="48"/>
        <v>512.30999999999995</v>
      </c>
      <c r="Q119" s="6" t="str">
        <f t="shared" si="49"/>
        <v/>
      </c>
      <c r="R119" s="4"/>
      <c r="S119" s="4"/>
      <c r="T119" s="5">
        <f t="shared" si="50"/>
        <v>0</v>
      </c>
      <c r="U119" s="6" t="str">
        <f t="shared" si="51"/>
        <v/>
      </c>
      <c r="V119" s="5">
        <f t="shared" si="52"/>
        <v>512.30999999999995</v>
      </c>
      <c r="W119" s="5">
        <f t="shared" si="53"/>
        <v>0</v>
      </c>
      <c r="X119" s="5">
        <f t="shared" si="54"/>
        <v>512.30999999999995</v>
      </c>
      <c r="Y119" s="6" t="str">
        <f t="shared" si="55"/>
        <v/>
      </c>
    </row>
    <row r="120" spans="1:25" x14ac:dyDescent="0.25">
      <c r="A120" s="3" t="s">
        <v>123</v>
      </c>
      <c r="B120" s="4"/>
      <c r="C120" s="4"/>
      <c r="D120" s="5">
        <f t="shared" si="42"/>
        <v>0</v>
      </c>
      <c r="E120" s="6" t="str">
        <f t="shared" si="43"/>
        <v/>
      </c>
      <c r="F120" s="4"/>
      <c r="G120" s="4"/>
      <c r="H120" s="5">
        <f t="shared" si="44"/>
        <v>0</v>
      </c>
      <c r="I120" s="6" t="str">
        <f t="shared" si="45"/>
        <v/>
      </c>
      <c r="J120" s="5">
        <f>3320.11</f>
        <v>3320.11</v>
      </c>
      <c r="K120" s="4"/>
      <c r="L120" s="5">
        <f t="shared" si="46"/>
        <v>3320.11</v>
      </c>
      <c r="M120" s="6" t="str">
        <f t="shared" si="47"/>
        <v/>
      </c>
      <c r="N120" s="4"/>
      <c r="O120" s="4"/>
      <c r="P120" s="5">
        <f t="shared" si="48"/>
        <v>0</v>
      </c>
      <c r="Q120" s="6" t="str">
        <f t="shared" si="49"/>
        <v/>
      </c>
      <c r="R120" s="4"/>
      <c r="S120" s="4"/>
      <c r="T120" s="5">
        <f t="shared" si="50"/>
        <v>0</v>
      </c>
      <c r="U120" s="6" t="str">
        <f t="shared" si="51"/>
        <v/>
      </c>
      <c r="V120" s="5">
        <f t="shared" si="52"/>
        <v>3320.11</v>
      </c>
      <c r="W120" s="5">
        <f t="shared" si="53"/>
        <v>0</v>
      </c>
      <c r="X120" s="5">
        <f t="shared" si="54"/>
        <v>3320.11</v>
      </c>
      <c r="Y120" s="6" t="str">
        <f t="shared" si="55"/>
        <v/>
      </c>
    </row>
    <row r="121" spans="1:25" x14ac:dyDescent="0.25">
      <c r="A121" s="3" t="s">
        <v>124</v>
      </c>
      <c r="B121" s="5">
        <f>0</f>
        <v>0</v>
      </c>
      <c r="C121" s="4"/>
      <c r="D121" s="5">
        <f t="shared" si="42"/>
        <v>0</v>
      </c>
      <c r="E121" s="6" t="str">
        <f t="shared" si="43"/>
        <v/>
      </c>
      <c r="F121" s="4"/>
      <c r="G121" s="4"/>
      <c r="H121" s="5">
        <f t="shared" si="44"/>
        <v>0</v>
      </c>
      <c r="I121" s="6" t="str">
        <f t="shared" si="45"/>
        <v/>
      </c>
      <c r="J121" s="5">
        <f>0</f>
        <v>0</v>
      </c>
      <c r="K121" s="4"/>
      <c r="L121" s="5">
        <f t="shared" si="46"/>
        <v>0</v>
      </c>
      <c r="M121" s="6" t="str">
        <f t="shared" si="47"/>
        <v/>
      </c>
      <c r="N121" s="4"/>
      <c r="O121" s="4"/>
      <c r="P121" s="5">
        <f t="shared" si="48"/>
        <v>0</v>
      </c>
      <c r="Q121" s="6" t="str">
        <f t="shared" si="49"/>
        <v/>
      </c>
      <c r="R121" s="4"/>
      <c r="S121" s="4"/>
      <c r="T121" s="5">
        <f t="shared" si="50"/>
        <v>0</v>
      </c>
      <c r="U121" s="6" t="str">
        <f t="shared" si="51"/>
        <v/>
      </c>
      <c r="V121" s="5">
        <f t="shared" si="52"/>
        <v>0</v>
      </c>
      <c r="W121" s="5">
        <f t="shared" si="53"/>
        <v>0</v>
      </c>
      <c r="X121" s="5">
        <f t="shared" si="54"/>
        <v>0</v>
      </c>
      <c r="Y121" s="6" t="str">
        <f t="shared" si="55"/>
        <v/>
      </c>
    </row>
    <row r="122" spans="1:25" x14ac:dyDescent="0.25">
      <c r="A122" s="3" t="s">
        <v>125</v>
      </c>
      <c r="B122" s="4"/>
      <c r="C122" s="4"/>
      <c r="D122" s="5">
        <f t="shared" si="42"/>
        <v>0</v>
      </c>
      <c r="E122" s="6" t="str">
        <f t="shared" si="43"/>
        <v/>
      </c>
      <c r="F122" s="5">
        <f>0</f>
        <v>0</v>
      </c>
      <c r="G122" s="4"/>
      <c r="H122" s="5">
        <f t="shared" si="44"/>
        <v>0</v>
      </c>
      <c r="I122" s="6" t="str">
        <f t="shared" si="45"/>
        <v/>
      </c>
      <c r="J122" s="4"/>
      <c r="K122" s="4"/>
      <c r="L122" s="5">
        <f t="shared" si="46"/>
        <v>0</v>
      </c>
      <c r="M122" s="6" t="str">
        <f t="shared" si="47"/>
        <v/>
      </c>
      <c r="N122" s="4"/>
      <c r="O122" s="4"/>
      <c r="P122" s="5">
        <f t="shared" si="48"/>
        <v>0</v>
      </c>
      <c r="Q122" s="6" t="str">
        <f t="shared" si="49"/>
        <v/>
      </c>
      <c r="R122" s="4"/>
      <c r="S122" s="4"/>
      <c r="T122" s="5">
        <f t="shared" si="50"/>
        <v>0</v>
      </c>
      <c r="U122" s="6" t="str">
        <f t="shared" si="51"/>
        <v/>
      </c>
      <c r="V122" s="5">
        <f t="shared" si="52"/>
        <v>0</v>
      </c>
      <c r="W122" s="5">
        <f t="shared" si="53"/>
        <v>0</v>
      </c>
      <c r="X122" s="5">
        <f t="shared" si="54"/>
        <v>0</v>
      </c>
      <c r="Y122" s="6" t="str">
        <f t="shared" si="55"/>
        <v/>
      </c>
    </row>
    <row r="123" spans="1:25" x14ac:dyDescent="0.25">
      <c r="A123" s="3" t="s">
        <v>126</v>
      </c>
      <c r="B123" s="4"/>
      <c r="C123" s="4"/>
      <c r="D123" s="5">
        <f t="shared" si="42"/>
        <v>0</v>
      </c>
      <c r="E123" s="6" t="str">
        <f t="shared" si="43"/>
        <v/>
      </c>
      <c r="F123" s="4"/>
      <c r="G123" s="4"/>
      <c r="H123" s="5">
        <f t="shared" si="44"/>
        <v>0</v>
      </c>
      <c r="I123" s="6" t="str">
        <f t="shared" si="45"/>
        <v/>
      </c>
      <c r="J123" s="4"/>
      <c r="K123" s="5">
        <f>0</f>
        <v>0</v>
      </c>
      <c r="L123" s="5">
        <f t="shared" si="46"/>
        <v>0</v>
      </c>
      <c r="M123" s="6" t="str">
        <f t="shared" si="47"/>
        <v/>
      </c>
      <c r="N123" s="4"/>
      <c r="O123" s="4"/>
      <c r="P123" s="5">
        <f t="shared" si="48"/>
        <v>0</v>
      </c>
      <c r="Q123" s="6" t="str">
        <f t="shared" si="49"/>
        <v/>
      </c>
      <c r="R123" s="4"/>
      <c r="S123" s="4"/>
      <c r="T123" s="5">
        <f t="shared" si="50"/>
        <v>0</v>
      </c>
      <c r="U123" s="6" t="str">
        <f t="shared" si="51"/>
        <v/>
      </c>
      <c r="V123" s="5">
        <f t="shared" si="52"/>
        <v>0</v>
      </c>
      <c r="W123" s="5">
        <f t="shared" si="53"/>
        <v>0</v>
      </c>
      <c r="X123" s="5">
        <f t="shared" si="54"/>
        <v>0</v>
      </c>
      <c r="Y123" s="6" t="str">
        <f t="shared" si="55"/>
        <v/>
      </c>
    </row>
    <row r="124" spans="1:25" x14ac:dyDescent="0.25">
      <c r="A124" s="3" t="s">
        <v>127</v>
      </c>
      <c r="B124" s="4"/>
      <c r="C124" s="4"/>
      <c r="D124" s="5">
        <f t="shared" si="42"/>
        <v>0</v>
      </c>
      <c r="E124" s="6" t="str">
        <f t="shared" si="43"/>
        <v/>
      </c>
      <c r="F124" s="4"/>
      <c r="G124" s="4"/>
      <c r="H124" s="5">
        <f t="shared" si="44"/>
        <v>0</v>
      </c>
      <c r="I124" s="6" t="str">
        <f t="shared" si="45"/>
        <v/>
      </c>
      <c r="J124" s="4"/>
      <c r="K124" s="4"/>
      <c r="L124" s="5">
        <f t="shared" si="46"/>
        <v>0</v>
      </c>
      <c r="M124" s="6" t="str">
        <f t="shared" si="47"/>
        <v/>
      </c>
      <c r="N124" s="4"/>
      <c r="O124" s="4"/>
      <c r="P124" s="5">
        <f t="shared" si="48"/>
        <v>0</v>
      </c>
      <c r="Q124" s="6" t="str">
        <f t="shared" si="49"/>
        <v/>
      </c>
      <c r="R124" s="4"/>
      <c r="S124" s="4"/>
      <c r="T124" s="5">
        <f t="shared" si="50"/>
        <v>0</v>
      </c>
      <c r="U124" s="6" t="str">
        <f t="shared" si="51"/>
        <v/>
      </c>
      <c r="V124" s="5">
        <f t="shared" si="52"/>
        <v>0</v>
      </c>
      <c r="W124" s="5">
        <f t="shared" si="53"/>
        <v>0</v>
      </c>
      <c r="X124" s="5">
        <f t="shared" si="54"/>
        <v>0</v>
      </c>
      <c r="Y124" s="6" t="str">
        <f t="shared" si="55"/>
        <v/>
      </c>
    </row>
    <row r="125" spans="1:25" x14ac:dyDescent="0.25">
      <c r="A125" s="3" t="s">
        <v>128</v>
      </c>
      <c r="B125" s="4"/>
      <c r="C125" s="4"/>
      <c r="D125" s="5">
        <f t="shared" si="42"/>
        <v>0</v>
      </c>
      <c r="E125" s="6" t="str">
        <f t="shared" si="43"/>
        <v/>
      </c>
      <c r="F125" s="4"/>
      <c r="G125" s="4"/>
      <c r="H125" s="5">
        <f t="shared" si="44"/>
        <v>0</v>
      </c>
      <c r="I125" s="6" t="str">
        <f t="shared" si="45"/>
        <v/>
      </c>
      <c r="J125" s="4"/>
      <c r="K125" s="5">
        <f>0</f>
        <v>0</v>
      </c>
      <c r="L125" s="5">
        <f t="shared" si="46"/>
        <v>0</v>
      </c>
      <c r="M125" s="6" t="str">
        <f t="shared" si="47"/>
        <v/>
      </c>
      <c r="N125" s="4"/>
      <c r="O125" s="4"/>
      <c r="P125" s="5">
        <f t="shared" si="48"/>
        <v>0</v>
      </c>
      <c r="Q125" s="6" t="str">
        <f t="shared" si="49"/>
        <v/>
      </c>
      <c r="R125" s="4"/>
      <c r="S125" s="4"/>
      <c r="T125" s="5">
        <f t="shared" si="50"/>
        <v>0</v>
      </c>
      <c r="U125" s="6" t="str">
        <f t="shared" si="51"/>
        <v/>
      </c>
      <c r="V125" s="5">
        <f t="shared" si="52"/>
        <v>0</v>
      </c>
      <c r="W125" s="5">
        <f t="shared" si="53"/>
        <v>0</v>
      </c>
      <c r="X125" s="5">
        <f t="shared" si="54"/>
        <v>0</v>
      </c>
      <c r="Y125" s="6" t="str">
        <f t="shared" si="55"/>
        <v/>
      </c>
    </row>
    <row r="126" spans="1:25" x14ac:dyDescent="0.25">
      <c r="A126" s="3" t="s">
        <v>129</v>
      </c>
      <c r="B126" s="4"/>
      <c r="C126" s="4"/>
      <c r="D126" s="5">
        <f t="shared" si="42"/>
        <v>0</v>
      </c>
      <c r="E126" s="6" t="str">
        <f t="shared" si="43"/>
        <v/>
      </c>
      <c r="F126" s="4"/>
      <c r="G126" s="4"/>
      <c r="H126" s="5">
        <f t="shared" si="44"/>
        <v>0</v>
      </c>
      <c r="I126" s="6" t="str">
        <f t="shared" si="45"/>
        <v/>
      </c>
      <c r="J126" s="5">
        <f>0</f>
        <v>0</v>
      </c>
      <c r="K126" s="5">
        <f>0</f>
        <v>0</v>
      </c>
      <c r="L126" s="5">
        <f t="shared" si="46"/>
        <v>0</v>
      </c>
      <c r="M126" s="6" t="str">
        <f t="shared" si="47"/>
        <v/>
      </c>
      <c r="N126" s="4"/>
      <c r="O126" s="4"/>
      <c r="P126" s="5">
        <f t="shared" si="48"/>
        <v>0</v>
      </c>
      <c r="Q126" s="6" t="str">
        <f t="shared" si="49"/>
        <v/>
      </c>
      <c r="R126" s="4"/>
      <c r="S126" s="4"/>
      <c r="T126" s="5">
        <f t="shared" si="50"/>
        <v>0</v>
      </c>
      <c r="U126" s="6" t="str">
        <f t="shared" si="51"/>
        <v/>
      </c>
      <c r="V126" s="5">
        <f t="shared" si="52"/>
        <v>0</v>
      </c>
      <c r="W126" s="5">
        <f t="shared" si="53"/>
        <v>0</v>
      </c>
      <c r="X126" s="5">
        <f t="shared" si="54"/>
        <v>0</v>
      </c>
      <c r="Y126" s="6" t="str">
        <f t="shared" si="55"/>
        <v/>
      </c>
    </row>
    <row r="127" spans="1:25" x14ac:dyDescent="0.25">
      <c r="A127" s="3" t="s">
        <v>130</v>
      </c>
      <c r="B127" s="7">
        <f>((B124)+(B125))+(B126)</f>
        <v>0</v>
      </c>
      <c r="C127" s="7">
        <f>((C124)+(C125))+(C126)</f>
        <v>0</v>
      </c>
      <c r="D127" s="7">
        <f t="shared" si="42"/>
        <v>0</v>
      </c>
      <c r="E127" s="8" t="str">
        <f t="shared" si="43"/>
        <v/>
      </c>
      <c r="F127" s="7">
        <f>((F124)+(F125))+(F126)</f>
        <v>0</v>
      </c>
      <c r="G127" s="7">
        <f>((G124)+(G125))+(G126)</f>
        <v>0</v>
      </c>
      <c r="H127" s="7">
        <f t="shared" si="44"/>
        <v>0</v>
      </c>
      <c r="I127" s="8" t="str">
        <f t="shared" si="45"/>
        <v/>
      </c>
      <c r="J127" s="7">
        <f>((J124)+(J125))+(J126)</f>
        <v>0</v>
      </c>
      <c r="K127" s="7">
        <f>((K124)+(K125))+(K126)</f>
        <v>0</v>
      </c>
      <c r="L127" s="7">
        <f t="shared" si="46"/>
        <v>0</v>
      </c>
      <c r="M127" s="8" t="str">
        <f t="shared" si="47"/>
        <v/>
      </c>
      <c r="N127" s="7">
        <f>((N124)+(N125))+(N126)</f>
        <v>0</v>
      </c>
      <c r="O127" s="7">
        <f>((O124)+(O125))+(O126)</f>
        <v>0</v>
      </c>
      <c r="P127" s="7">
        <f t="shared" si="48"/>
        <v>0</v>
      </c>
      <c r="Q127" s="8" t="str">
        <f t="shared" si="49"/>
        <v/>
      </c>
      <c r="R127" s="7">
        <f>((R124)+(R125))+(R126)</f>
        <v>0</v>
      </c>
      <c r="S127" s="7">
        <f>((S124)+(S125))+(S126)</f>
        <v>0</v>
      </c>
      <c r="T127" s="7">
        <f t="shared" si="50"/>
        <v>0</v>
      </c>
      <c r="U127" s="8" t="str">
        <f t="shared" si="51"/>
        <v/>
      </c>
      <c r="V127" s="7">
        <f t="shared" si="52"/>
        <v>0</v>
      </c>
      <c r="W127" s="7">
        <f t="shared" si="53"/>
        <v>0</v>
      </c>
      <c r="X127" s="7">
        <f t="shared" si="54"/>
        <v>0</v>
      </c>
      <c r="Y127" s="8" t="str">
        <f t="shared" si="55"/>
        <v/>
      </c>
    </row>
    <row r="128" spans="1:25" x14ac:dyDescent="0.25">
      <c r="A128" s="3" t="s">
        <v>131</v>
      </c>
      <c r="B128" s="4"/>
      <c r="C128" s="5">
        <f>0</f>
        <v>0</v>
      </c>
      <c r="D128" s="5">
        <f t="shared" si="42"/>
        <v>0</v>
      </c>
      <c r="E128" s="6" t="str">
        <f t="shared" si="43"/>
        <v/>
      </c>
      <c r="F128" s="4"/>
      <c r="G128" s="5">
        <f>0</f>
        <v>0</v>
      </c>
      <c r="H128" s="5">
        <f t="shared" si="44"/>
        <v>0</v>
      </c>
      <c r="I128" s="6" t="str">
        <f t="shared" si="45"/>
        <v/>
      </c>
      <c r="J128" s="4"/>
      <c r="K128" s="5">
        <f>0</f>
        <v>0</v>
      </c>
      <c r="L128" s="5">
        <f t="shared" si="46"/>
        <v>0</v>
      </c>
      <c r="M128" s="6" t="str">
        <f t="shared" si="47"/>
        <v/>
      </c>
      <c r="N128" s="4"/>
      <c r="O128" s="4"/>
      <c r="P128" s="5">
        <f t="shared" si="48"/>
        <v>0</v>
      </c>
      <c r="Q128" s="6" t="str">
        <f t="shared" si="49"/>
        <v/>
      </c>
      <c r="R128" s="4"/>
      <c r="S128" s="4"/>
      <c r="T128" s="5">
        <f t="shared" si="50"/>
        <v>0</v>
      </c>
      <c r="U128" s="6" t="str">
        <f t="shared" si="51"/>
        <v/>
      </c>
      <c r="V128" s="5">
        <f t="shared" si="52"/>
        <v>0</v>
      </c>
      <c r="W128" s="5">
        <f t="shared" si="53"/>
        <v>0</v>
      </c>
      <c r="X128" s="5">
        <f t="shared" si="54"/>
        <v>0</v>
      </c>
      <c r="Y128" s="6" t="str">
        <f t="shared" si="55"/>
        <v/>
      </c>
    </row>
    <row r="129" spans="1:25" x14ac:dyDescent="0.25">
      <c r="A129" s="3" t="s">
        <v>132</v>
      </c>
      <c r="B129" s="4"/>
      <c r="C129" s="4"/>
      <c r="D129" s="5">
        <f t="shared" si="42"/>
        <v>0</v>
      </c>
      <c r="E129" s="6" t="str">
        <f t="shared" si="43"/>
        <v/>
      </c>
      <c r="F129" s="4"/>
      <c r="G129" s="4"/>
      <c r="H129" s="5">
        <f t="shared" si="44"/>
        <v>0</v>
      </c>
      <c r="I129" s="6" t="str">
        <f t="shared" si="45"/>
        <v/>
      </c>
      <c r="J129" s="5">
        <f>0</f>
        <v>0</v>
      </c>
      <c r="K129" s="4"/>
      <c r="L129" s="5">
        <f t="shared" si="46"/>
        <v>0</v>
      </c>
      <c r="M129" s="6" t="str">
        <f t="shared" si="47"/>
        <v/>
      </c>
      <c r="N129" s="4"/>
      <c r="O129" s="4"/>
      <c r="P129" s="5">
        <f t="shared" si="48"/>
        <v>0</v>
      </c>
      <c r="Q129" s="6" t="str">
        <f t="shared" si="49"/>
        <v/>
      </c>
      <c r="R129" s="4"/>
      <c r="S129" s="4"/>
      <c r="T129" s="5">
        <f t="shared" si="50"/>
        <v>0</v>
      </c>
      <c r="U129" s="6" t="str">
        <f t="shared" si="51"/>
        <v/>
      </c>
      <c r="V129" s="5">
        <f t="shared" si="52"/>
        <v>0</v>
      </c>
      <c r="W129" s="5">
        <f t="shared" si="53"/>
        <v>0</v>
      </c>
      <c r="X129" s="5">
        <f t="shared" si="54"/>
        <v>0</v>
      </c>
      <c r="Y129" s="6" t="str">
        <f t="shared" si="55"/>
        <v/>
      </c>
    </row>
    <row r="130" spans="1:25" x14ac:dyDescent="0.25">
      <c r="A130" s="3" t="s">
        <v>133</v>
      </c>
      <c r="B130" s="4"/>
      <c r="C130" s="4"/>
      <c r="D130" s="5">
        <f t="shared" si="42"/>
        <v>0</v>
      </c>
      <c r="E130" s="6" t="str">
        <f t="shared" si="43"/>
        <v/>
      </c>
      <c r="F130" s="4"/>
      <c r="G130" s="4"/>
      <c r="H130" s="5">
        <f t="shared" si="44"/>
        <v>0</v>
      </c>
      <c r="I130" s="6" t="str">
        <f t="shared" si="45"/>
        <v/>
      </c>
      <c r="J130" s="5">
        <f>0</f>
        <v>0</v>
      </c>
      <c r="K130" s="4"/>
      <c r="L130" s="5">
        <f t="shared" si="46"/>
        <v>0</v>
      </c>
      <c r="M130" s="6" t="str">
        <f t="shared" si="47"/>
        <v/>
      </c>
      <c r="N130" s="4"/>
      <c r="O130" s="4"/>
      <c r="P130" s="5">
        <f t="shared" si="48"/>
        <v>0</v>
      </c>
      <c r="Q130" s="6" t="str">
        <f t="shared" si="49"/>
        <v/>
      </c>
      <c r="R130" s="4"/>
      <c r="S130" s="4"/>
      <c r="T130" s="5">
        <f t="shared" si="50"/>
        <v>0</v>
      </c>
      <c r="U130" s="6" t="str">
        <f t="shared" si="51"/>
        <v/>
      </c>
      <c r="V130" s="5">
        <f t="shared" si="52"/>
        <v>0</v>
      </c>
      <c r="W130" s="5">
        <f t="shared" si="53"/>
        <v>0</v>
      </c>
      <c r="X130" s="5">
        <f t="shared" si="54"/>
        <v>0</v>
      </c>
      <c r="Y130" s="6" t="str">
        <f t="shared" si="55"/>
        <v/>
      </c>
    </row>
    <row r="131" spans="1:25" x14ac:dyDescent="0.25">
      <c r="A131" s="3" t="s">
        <v>134</v>
      </c>
      <c r="B131" s="7">
        <f>(((((((((((((((((((((((((((((((((((((((((B52)+(B53))+(B54))+(B55))+(B56))+(B57))+(B58))+(B59))+(B60))+(B61))+(B62))+(B63))+(B64))+(B65))+(B66))+(B67))+(B68))+(B69))+(B70))+(B71))+(B72))+(B73))+(B77))+(B84))+(B88))+(B99))+(B105))+(B113))+(B114))+(B115))+(B116))+(B117))+(B118))+(B119))+(B120))+(B121))+(B122))+(B123))+(B127))+(B128))+(B129))+(B130)</f>
        <v>87633.749999999985</v>
      </c>
      <c r="C131" s="7">
        <f>(((((((((((((((((((((((((((((((((((((((((C52)+(C53))+(C54))+(C55))+(C56))+(C57))+(C58))+(C59))+(C60))+(C61))+(C62))+(C63))+(C64))+(C65))+(C66))+(C67))+(C68))+(C69))+(C70))+(C71))+(C72))+(C73))+(C77))+(C84))+(C88))+(C99))+(C105))+(C113))+(C114))+(C115))+(C116))+(C117))+(C118))+(C119))+(C120))+(C121))+(C122))+(C123))+(C127))+(C128))+(C129))+(C130)</f>
        <v>309500</v>
      </c>
      <c r="D131" s="7">
        <f t="shared" si="42"/>
        <v>-221866.25</v>
      </c>
      <c r="E131" s="8">
        <f t="shared" si="43"/>
        <v>0.28314620355411951</v>
      </c>
      <c r="F131" s="7">
        <f>(((((((((((((((((((((((((((((((((((((((((F52)+(F53))+(F54))+(F55))+(F56))+(F57))+(F58))+(F59))+(F60))+(F61))+(F62))+(F63))+(F64))+(F65))+(F66))+(F67))+(F68))+(F69))+(F70))+(F71))+(F72))+(F73))+(F77))+(F84))+(F88))+(F99))+(F105))+(F113))+(F114))+(F115))+(F116))+(F117))+(F118))+(F119))+(F120))+(F121))+(F122))+(F123))+(F127))+(F128))+(F129))+(F130)</f>
        <v>287153.84999999998</v>
      </c>
      <c r="G131" s="7">
        <f>(((((((((((((((((((((((((((((((((((((((((G52)+(G53))+(G54))+(G55))+(G56))+(G57))+(G58))+(G59))+(G60))+(G61))+(G62))+(G63))+(G64))+(G65))+(G66))+(G67))+(G68))+(G69))+(G70))+(G71))+(G72))+(G73))+(G77))+(G84))+(G88))+(G99))+(G105))+(G113))+(G114))+(G115))+(G116))+(G117))+(G118))+(G119))+(G120))+(G121))+(G122))+(G123))+(G127))+(G128))+(G129))+(G130)</f>
        <v>212800</v>
      </c>
      <c r="H131" s="7">
        <f t="shared" si="44"/>
        <v>74353.849999999977</v>
      </c>
      <c r="I131" s="8">
        <f t="shared" si="45"/>
        <v>1.349407189849624</v>
      </c>
      <c r="J131" s="7">
        <f>(((((((((((((((((((((((((((((((((((((((((J52)+(J53))+(J54))+(J55))+(J56))+(J57))+(J58))+(J59))+(J60))+(J61))+(J62))+(J63))+(J64))+(J65))+(J66))+(J67))+(J68))+(J69))+(J70))+(J71))+(J72))+(J73))+(J77))+(J84))+(J88))+(J99))+(J105))+(J113))+(J114))+(J115))+(J116))+(J117))+(J118))+(J119))+(J120))+(J121))+(J122))+(J123))+(J127))+(J128))+(J129))+(J130)</f>
        <v>1730960.4200000002</v>
      </c>
      <c r="K131" s="7">
        <f>(((((((((((((((((((((((((((((((((((((((((K52)+(K53))+(K54))+(K55))+(K56))+(K57))+(K58))+(K59))+(K60))+(K61))+(K62))+(K63))+(K64))+(K65))+(K66))+(K67))+(K68))+(K69))+(K70))+(K71))+(K72))+(K73))+(K77))+(K84))+(K88))+(K99))+(K105))+(K113))+(K114))+(K115))+(K116))+(K117))+(K118))+(K119))+(K120))+(K121))+(K122))+(K123))+(K127))+(K128))+(K129))+(K130)</f>
        <v>1993375</v>
      </c>
      <c r="L131" s="7">
        <f t="shared" si="46"/>
        <v>-262414.57999999984</v>
      </c>
      <c r="M131" s="8">
        <f t="shared" si="47"/>
        <v>0.86835664137455326</v>
      </c>
      <c r="N131" s="7">
        <f>(((((((((((((((((((((((((((((((((((((((((N52)+(N53))+(N54))+(N55))+(N56))+(N57))+(N58))+(N59))+(N60))+(N61))+(N62))+(N63))+(N64))+(N65))+(N66))+(N67))+(N68))+(N69))+(N70))+(N71))+(N72))+(N73))+(N77))+(N84))+(N88))+(N99))+(N105))+(N113))+(N114))+(N115))+(N116))+(N117))+(N118))+(N119))+(N120))+(N121))+(N122))+(N123))+(N127))+(N128))+(N129))+(N130)</f>
        <v>333393.26999999996</v>
      </c>
      <c r="O131" s="7">
        <f>(((((((((((((((((((((((((((((((((((((((((O52)+(O53))+(O54))+(O55))+(O56))+(O57))+(O58))+(O59))+(O60))+(O61))+(O62))+(O63))+(O64))+(O65))+(O66))+(O67))+(O68))+(O69))+(O70))+(O71))+(O72))+(O73))+(O77))+(O84))+(O88))+(O99))+(O105))+(O113))+(O114))+(O115))+(O116))+(O117))+(O118))+(O119))+(O120))+(O121))+(O122))+(O123))+(O127))+(O128))+(O129))+(O130)</f>
        <v>136000</v>
      </c>
      <c r="P131" s="7">
        <f t="shared" si="48"/>
        <v>197393.26999999996</v>
      </c>
      <c r="Q131" s="8">
        <f t="shared" si="49"/>
        <v>2.4514211029411763</v>
      </c>
      <c r="R131" s="7">
        <f>(((((((((((((((((((((((((((((((((((((((((R52)+(R53))+(R54))+(R55))+(R56))+(R57))+(R58))+(R59))+(R60))+(R61))+(R62))+(R63))+(R64))+(R65))+(R66))+(R67))+(R68))+(R69))+(R70))+(R71))+(R72))+(R73))+(R77))+(R84))+(R88))+(R99))+(R105))+(R113))+(R114))+(R115))+(R116))+(R117))+(R118))+(R119))+(R120))+(R121))+(R122))+(R123))+(R127))+(R128))+(R129))+(R130)</f>
        <v>-6356.3099999999995</v>
      </c>
      <c r="S131" s="7">
        <f>(((((((((((((((((((((((((((((((((((((((((S52)+(S53))+(S54))+(S55))+(S56))+(S57))+(S58))+(S59))+(S60))+(S61))+(S62))+(S63))+(S64))+(S65))+(S66))+(S67))+(S68))+(S69))+(S70))+(S71))+(S72))+(S73))+(S77))+(S84))+(S88))+(S99))+(S105))+(S113))+(S114))+(S115))+(S116))+(S117))+(S118))+(S119))+(S120))+(S121))+(S122))+(S123))+(S127))+(S128))+(S129))+(S130)</f>
        <v>0</v>
      </c>
      <c r="T131" s="7">
        <f t="shared" si="50"/>
        <v>-6356.3099999999995</v>
      </c>
      <c r="U131" s="8" t="str">
        <f t="shared" si="51"/>
        <v/>
      </c>
      <c r="V131" s="7">
        <f t="shared" si="52"/>
        <v>2432784.98</v>
      </c>
      <c r="W131" s="7">
        <f t="shared" si="53"/>
        <v>2651675</v>
      </c>
      <c r="X131" s="7">
        <f t="shared" si="54"/>
        <v>-218890.02000000002</v>
      </c>
      <c r="Y131" s="8">
        <f t="shared" si="55"/>
        <v>0.91745216891210268</v>
      </c>
    </row>
    <row r="132" spans="1:25" x14ac:dyDescent="0.25">
      <c r="A132" s="3" t="s">
        <v>135</v>
      </c>
      <c r="B132" s="7">
        <f>(B50)-(B131)</f>
        <v>-39214.749999999985</v>
      </c>
      <c r="C132" s="7">
        <f>(C50)-(C131)</f>
        <v>-268000</v>
      </c>
      <c r="D132" s="7">
        <f t="shared" si="42"/>
        <v>228785.25</v>
      </c>
      <c r="E132" s="8">
        <f t="shared" si="43"/>
        <v>0.14632369402985068</v>
      </c>
      <c r="F132" s="7">
        <f>(F50)-(F131)</f>
        <v>-187434.22999999998</v>
      </c>
      <c r="G132" s="7">
        <f>(G50)-(G131)</f>
        <v>-127800</v>
      </c>
      <c r="H132" s="7">
        <f t="shared" si="44"/>
        <v>-59634.229999999981</v>
      </c>
      <c r="I132" s="8">
        <f t="shared" si="45"/>
        <v>1.46662151799687</v>
      </c>
      <c r="J132" s="7">
        <f>(J50)-(J131)</f>
        <v>-1281855.1700000002</v>
      </c>
      <c r="K132" s="7">
        <f>(K50)-(K131)</f>
        <v>-1847675</v>
      </c>
      <c r="L132" s="7">
        <f t="shared" si="46"/>
        <v>565819.82999999984</v>
      </c>
      <c r="M132" s="8">
        <f t="shared" si="47"/>
        <v>0.6937665823264374</v>
      </c>
      <c r="N132" s="7">
        <f>(N50)-(N131)</f>
        <v>2116655.75</v>
      </c>
      <c r="O132" s="7">
        <f>(O50)-(O131)</f>
        <v>2271500</v>
      </c>
      <c r="P132" s="7">
        <f t="shared" si="48"/>
        <v>-154844.25</v>
      </c>
      <c r="Q132" s="8">
        <f t="shared" si="49"/>
        <v>0.93183171912832929</v>
      </c>
      <c r="R132" s="7">
        <f>(R50)-(R131)</f>
        <v>7409.7</v>
      </c>
      <c r="S132" s="7">
        <f>(S50)-(S131)</f>
        <v>0</v>
      </c>
      <c r="T132" s="7">
        <f t="shared" si="50"/>
        <v>7409.7</v>
      </c>
      <c r="U132" s="8" t="str">
        <f t="shared" si="51"/>
        <v/>
      </c>
      <c r="V132" s="7">
        <f t="shared" si="52"/>
        <v>615561.29999999981</v>
      </c>
      <c r="W132" s="7">
        <f t="shared" si="53"/>
        <v>28025</v>
      </c>
      <c r="X132" s="7">
        <f t="shared" si="54"/>
        <v>587536.29999999981</v>
      </c>
      <c r="Y132" s="8">
        <f t="shared" si="55"/>
        <v>21.964720785013373</v>
      </c>
    </row>
    <row r="133" spans="1:25" x14ac:dyDescent="0.25">
      <c r="A133" s="3" t="s">
        <v>136</v>
      </c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</row>
    <row r="134" spans="1:25" x14ac:dyDescent="0.25">
      <c r="A134" s="3" t="s">
        <v>137</v>
      </c>
      <c r="B134" s="4"/>
      <c r="C134" s="4"/>
      <c r="D134" s="5">
        <f>(B134)-(C134)</f>
        <v>0</v>
      </c>
      <c r="E134" s="6" t="str">
        <f>IF(C134=0,"",(B134)/(C134))</f>
        <v/>
      </c>
      <c r="F134" s="4"/>
      <c r="G134" s="4"/>
      <c r="H134" s="5">
        <f>(F134)-(G134)</f>
        <v>0</v>
      </c>
      <c r="I134" s="6" t="str">
        <f>IF(G134=0,"",(F134)/(G134))</f>
        <v/>
      </c>
      <c r="J134" s="5">
        <f>9121.43</f>
        <v>9121.43</v>
      </c>
      <c r="K134" s="5">
        <f>8500</f>
        <v>8500</v>
      </c>
      <c r="L134" s="5">
        <f>(J134)-(K134)</f>
        <v>621.43000000000029</v>
      </c>
      <c r="M134" s="6">
        <f>IF(K134=0,"",(J134)/(K134))</f>
        <v>1.073109411764706</v>
      </c>
      <c r="N134" s="4"/>
      <c r="O134" s="4"/>
      <c r="P134" s="5">
        <f>(N134)-(O134)</f>
        <v>0</v>
      </c>
      <c r="Q134" s="6" t="str">
        <f>IF(O134=0,"",(N134)/(O134))</f>
        <v/>
      </c>
      <c r="R134" s="5">
        <f>506.12</f>
        <v>506.12</v>
      </c>
      <c r="S134" s="4"/>
      <c r="T134" s="5">
        <f>(R134)-(S134)</f>
        <v>506.12</v>
      </c>
      <c r="U134" s="6" t="str">
        <f>IF(S134=0,"",(R134)/(S134))</f>
        <v/>
      </c>
      <c r="V134" s="5">
        <f t="shared" ref="V134:W136" si="56">((((B134)+(F134))+(J134))+(N134))+(R134)</f>
        <v>9627.5500000000011</v>
      </c>
      <c r="W134" s="5">
        <f t="shared" si="56"/>
        <v>8500</v>
      </c>
      <c r="X134" s="5">
        <f>(V134)-(W134)</f>
        <v>1127.5500000000011</v>
      </c>
      <c r="Y134" s="6">
        <f>IF(W134=0,"",(V134)/(W134))</f>
        <v>1.1326529411764708</v>
      </c>
    </row>
    <row r="135" spans="1:25" x14ac:dyDescent="0.25">
      <c r="A135" s="3" t="s">
        <v>138</v>
      </c>
      <c r="B135" s="4"/>
      <c r="C135" s="4"/>
      <c r="D135" s="5">
        <f>(B135)-(C135)</f>
        <v>0</v>
      </c>
      <c r="E135" s="6" t="str">
        <f>IF(C135=0,"",(B135)/(C135))</f>
        <v/>
      </c>
      <c r="F135" s="4"/>
      <c r="G135" s="4"/>
      <c r="H135" s="5">
        <f>(F135)-(G135)</f>
        <v>0</v>
      </c>
      <c r="I135" s="6" t="str">
        <f>IF(G135=0,"",(F135)/(G135))</f>
        <v/>
      </c>
      <c r="J135" s="5">
        <f>34958.85</f>
        <v>34958.85</v>
      </c>
      <c r="K135" s="5">
        <f>35000</f>
        <v>35000</v>
      </c>
      <c r="L135" s="5">
        <f>(J135)-(K135)</f>
        <v>-41.150000000001455</v>
      </c>
      <c r="M135" s="6">
        <f>IF(K135=0,"",(J135)/(K135))</f>
        <v>0.99882428571428572</v>
      </c>
      <c r="N135" s="4"/>
      <c r="O135" s="4"/>
      <c r="P135" s="5">
        <f>(N135)-(O135)</f>
        <v>0</v>
      </c>
      <c r="Q135" s="6" t="str">
        <f>IF(O135=0,"",(N135)/(O135))</f>
        <v/>
      </c>
      <c r="R135" s="4"/>
      <c r="S135" s="4"/>
      <c r="T135" s="5">
        <f>(R135)-(S135)</f>
        <v>0</v>
      </c>
      <c r="U135" s="6" t="str">
        <f>IF(S135=0,"",(R135)/(S135))</f>
        <v/>
      </c>
      <c r="V135" s="5">
        <f t="shared" si="56"/>
        <v>34958.85</v>
      </c>
      <c r="W135" s="5">
        <f t="shared" si="56"/>
        <v>35000</v>
      </c>
      <c r="X135" s="5">
        <f>(V135)-(W135)</f>
        <v>-41.150000000001455</v>
      </c>
      <c r="Y135" s="6">
        <f>IF(W135=0,"",(V135)/(W135))</f>
        <v>0.99882428571428572</v>
      </c>
    </row>
    <row r="136" spans="1:25" x14ac:dyDescent="0.25">
      <c r="A136" s="3" t="s">
        <v>139</v>
      </c>
      <c r="B136" s="7">
        <f>(B134)+(B135)</f>
        <v>0</v>
      </c>
      <c r="C136" s="7">
        <f>(C134)+(C135)</f>
        <v>0</v>
      </c>
      <c r="D136" s="7">
        <f>(B136)-(C136)</f>
        <v>0</v>
      </c>
      <c r="E136" s="8" t="str">
        <f>IF(C136=0,"",(B136)/(C136))</f>
        <v/>
      </c>
      <c r="F136" s="7">
        <f>(F134)+(F135)</f>
        <v>0</v>
      </c>
      <c r="G136" s="7">
        <f>(G134)+(G135)</f>
        <v>0</v>
      </c>
      <c r="H136" s="7">
        <f>(F136)-(G136)</f>
        <v>0</v>
      </c>
      <c r="I136" s="8" t="str">
        <f>IF(G136=0,"",(F136)/(G136))</f>
        <v/>
      </c>
      <c r="J136" s="7">
        <f>(J134)+(J135)</f>
        <v>44080.28</v>
      </c>
      <c r="K136" s="7">
        <f>(K134)+(K135)</f>
        <v>43500</v>
      </c>
      <c r="L136" s="7">
        <f>(J136)-(K136)</f>
        <v>580.27999999999884</v>
      </c>
      <c r="M136" s="8">
        <f>IF(K136=0,"",(J136)/(K136))</f>
        <v>1.0133397701149425</v>
      </c>
      <c r="N136" s="7">
        <f>(N134)+(N135)</f>
        <v>0</v>
      </c>
      <c r="O136" s="7">
        <f>(O134)+(O135)</f>
        <v>0</v>
      </c>
      <c r="P136" s="7">
        <f>(N136)-(O136)</f>
        <v>0</v>
      </c>
      <c r="Q136" s="8" t="str">
        <f>IF(O136=0,"",(N136)/(O136))</f>
        <v/>
      </c>
      <c r="R136" s="7">
        <f>(R134)+(R135)</f>
        <v>506.12</v>
      </c>
      <c r="S136" s="7">
        <f>(S134)+(S135)</f>
        <v>0</v>
      </c>
      <c r="T136" s="7">
        <f>(R136)-(S136)</f>
        <v>506.12</v>
      </c>
      <c r="U136" s="8" t="str">
        <f>IF(S136=0,"",(R136)/(S136))</f>
        <v/>
      </c>
      <c r="V136" s="7">
        <f t="shared" si="56"/>
        <v>44586.400000000001</v>
      </c>
      <c r="W136" s="7">
        <f t="shared" si="56"/>
        <v>43500</v>
      </c>
      <c r="X136" s="7">
        <f>(V136)-(W136)</f>
        <v>1086.4000000000015</v>
      </c>
      <c r="Y136" s="8">
        <f>IF(W136=0,"",(V136)/(W136))</f>
        <v>1.0249747126436781</v>
      </c>
    </row>
    <row r="137" spans="1:25" x14ac:dyDescent="0.25">
      <c r="A137" s="3" t="s">
        <v>140</v>
      </c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</row>
    <row r="138" spans="1:25" x14ac:dyDescent="0.25">
      <c r="A138" s="3" t="s">
        <v>141</v>
      </c>
      <c r="B138" s="4"/>
      <c r="C138" s="4"/>
      <c r="D138" s="5">
        <f>(B138)-(C138)</f>
        <v>0</v>
      </c>
      <c r="E138" s="6" t="str">
        <f>IF(C138=0,"",(B138)/(C138))</f>
        <v/>
      </c>
      <c r="F138" s="4"/>
      <c r="G138" s="4"/>
      <c r="H138" s="5">
        <f>(F138)-(G138)</f>
        <v>0</v>
      </c>
      <c r="I138" s="6" t="str">
        <f>IF(G138=0,"",(F138)/(G138))</f>
        <v/>
      </c>
      <c r="J138" s="4"/>
      <c r="K138" s="4"/>
      <c r="L138" s="5">
        <f>(J138)-(K138)</f>
        <v>0</v>
      </c>
      <c r="M138" s="6" t="str">
        <f>IF(K138=0,"",(J138)/(K138))</f>
        <v/>
      </c>
      <c r="N138" s="5">
        <f>-33476.05</f>
        <v>-33476.050000000003</v>
      </c>
      <c r="O138" s="4"/>
      <c r="P138" s="5">
        <f>(N138)-(O138)</f>
        <v>-33476.050000000003</v>
      </c>
      <c r="Q138" s="6" t="str">
        <f>IF(O138=0,"",(N138)/(O138))</f>
        <v/>
      </c>
      <c r="R138" s="5">
        <f>-0.01</f>
        <v>-0.01</v>
      </c>
      <c r="S138" s="4"/>
      <c r="T138" s="5">
        <f>(R138)-(S138)</f>
        <v>-0.01</v>
      </c>
      <c r="U138" s="6" t="str">
        <f>IF(S138=0,"",(R138)/(S138))</f>
        <v/>
      </c>
      <c r="V138" s="5">
        <f t="shared" ref="V138:W141" si="57">((((B138)+(F138))+(J138))+(N138))+(R138)</f>
        <v>-33476.060000000005</v>
      </c>
      <c r="W138" s="5">
        <f t="shared" si="57"/>
        <v>0</v>
      </c>
      <c r="X138" s="5">
        <f>(V138)-(W138)</f>
        <v>-33476.060000000005</v>
      </c>
      <c r="Y138" s="6" t="str">
        <f>IF(W138=0,"",(V138)/(W138))</f>
        <v/>
      </c>
    </row>
    <row r="139" spans="1:25" x14ac:dyDescent="0.25">
      <c r="A139" s="3" t="s">
        <v>142</v>
      </c>
      <c r="B139" s="7">
        <f>B138</f>
        <v>0</v>
      </c>
      <c r="C139" s="7">
        <f>C138</f>
        <v>0</v>
      </c>
      <c r="D139" s="7">
        <f>(B139)-(C139)</f>
        <v>0</v>
      </c>
      <c r="E139" s="8" t="str">
        <f>IF(C139=0,"",(B139)/(C139))</f>
        <v/>
      </c>
      <c r="F139" s="7">
        <f>F138</f>
        <v>0</v>
      </c>
      <c r="G139" s="7">
        <f>G138</f>
        <v>0</v>
      </c>
      <c r="H139" s="7">
        <f>(F139)-(G139)</f>
        <v>0</v>
      </c>
      <c r="I139" s="8" t="str">
        <f>IF(G139=0,"",(F139)/(G139))</f>
        <v/>
      </c>
      <c r="J139" s="7">
        <f>J138</f>
        <v>0</v>
      </c>
      <c r="K139" s="7">
        <f>K138</f>
        <v>0</v>
      </c>
      <c r="L139" s="7">
        <f>(J139)-(K139)</f>
        <v>0</v>
      </c>
      <c r="M139" s="8" t="str">
        <f>IF(K139=0,"",(J139)/(K139))</f>
        <v/>
      </c>
      <c r="N139" s="7">
        <f>N138</f>
        <v>-33476.050000000003</v>
      </c>
      <c r="O139" s="7">
        <f>O138</f>
        <v>0</v>
      </c>
      <c r="P139" s="7">
        <f>(N139)-(O139)</f>
        <v>-33476.050000000003</v>
      </c>
      <c r="Q139" s="8" t="str">
        <f>IF(O139=0,"",(N139)/(O139))</f>
        <v/>
      </c>
      <c r="R139" s="7">
        <f>R138</f>
        <v>-0.01</v>
      </c>
      <c r="S139" s="7">
        <f>S138</f>
        <v>0</v>
      </c>
      <c r="T139" s="7">
        <f>(R139)-(S139)</f>
        <v>-0.01</v>
      </c>
      <c r="U139" s="8" t="str">
        <f>IF(S139=0,"",(R139)/(S139))</f>
        <v/>
      </c>
      <c r="V139" s="7">
        <f t="shared" si="57"/>
        <v>-33476.060000000005</v>
      </c>
      <c r="W139" s="7">
        <f t="shared" si="57"/>
        <v>0</v>
      </c>
      <c r="X139" s="7">
        <f>(V139)-(W139)</f>
        <v>-33476.060000000005</v>
      </c>
      <c r="Y139" s="8" t="str">
        <f>IF(W139=0,"",(V139)/(W139))</f>
        <v/>
      </c>
    </row>
    <row r="140" spans="1:25" x14ac:dyDescent="0.25">
      <c r="A140" s="3" t="s">
        <v>143</v>
      </c>
      <c r="B140" s="7">
        <f>(B136)-(B139)</f>
        <v>0</v>
      </c>
      <c r="C140" s="7">
        <f>(C136)-(C139)</f>
        <v>0</v>
      </c>
      <c r="D140" s="7">
        <f>(B140)-(C140)</f>
        <v>0</v>
      </c>
      <c r="E140" s="8" t="str">
        <f>IF(C140=0,"",(B140)/(C140))</f>
        <v/>
      </c>
      <c r="F140" s="7">
        <f>(F136)-(F139)</f>
        <v>0</v>
      </c>
      <c r="G140" s="7">
        <f>(G136)-(G139)</f>
        <v>0</v>
      </c>
      <c r="H140" s="7">
        <f>(F140)-(G140)</f>
        <v>0</v>
      </c>
      <c r="I140" s="8" t="str">
        <f>IF(G140=0,"",(F140)/(G140))</f>
        <v/>
      </c>
      <c r="J140" s="7">
        <f>(J136)-(J139)</f>
        <v>44080.28</v>
      </c>
      <c r="K140" s="7">
        <f>(K136)-(K139)</f>
        <v>43500</v>
      </c>
      <c r="L140" s="7">
        <f>(J140)-(K140)</f>
        <v>580.27999999999884</v>
      </c>
      <c r="M140" s="8">
        <f>IF(K140=0,"",(J140)/(K140))</f>
        <v>1.0133397701149425</v>
      </c>
      <c r="N140" s="7">
        <f>(N136)-(N139)</f>
        <v>33476.050000000003</v>
      </c>
      <c r="O140" s="7">
        <f>(O136)-(O139)</f>
        <v>0</v>
      </c>
      <c r="P140" s="7">
        <f>(N140)-(O140)</f>
        <v>33476.050000000003</v>
      </c>
      <c r="Q140" s="8" t="str">
        <f>IF(O140=0,"",(N140)/(O140))</f>
        <v/>
      </c>
      <c r="R140" s="7">
        <f>(R136)-(R139)</f>
        <v>506.13</v>
      </c>
      <c r="S140" s="7">
        <f>(S136)-(S139)</f>
        <v>0</v>
      </c>
      <c r="T140" s="7">
        <f>(R140)-(S140)</f>
        <v>506.13</v>
      </c>
      <c r="U140" s="8" t="str">
        <f>IF(S140=0,"",(R140)/(S140))</f>
        <v/>
      </c>
      <c r="V140" s="7">
        <f t="shared" si="57"/>
        <v>78062.460000000006</v>
      </c>
      <c r="W140" s="7">
        <f t="shared" si="57"/>
        <v>43500</v>
      </c>
      <c r="X140" s="7">
        <f>(V140)-(W140)</f>
        <v>34562.460000000006</v>
      </c>
      <c r="Y140" s="8">
        <f>IF(W140=0,"",(V140)/(W140))</f>
        <v>1.7945393103448277</v>
      </c>
    </row>
    <row r="141" spans="1:25" x14ac:dyDescent="0.25">
      <c r="A141" s="3" t="s">
        <v>144</v>
      </c>
      <c r="B141" s="9">
        <f>(B132)+(B140)</f>
        <v>-39214.749999999985</v>
      </c>
      <c r="C141" s="9">
        <f>(C132)+(C140)</f>
        <v>-268000</v>
      </c>
      <c r="D141" s="9">
        <f>(B141)-(C141)</f>
        <v>228785.25</v>
      </c>
      <c r="E141" s="10">
        <f>IF(C141=0,"",(B141)/(C141))</f>
        <v>0.14632369402985068</v>
      </c>
      <c r="F141" s="9">
        <f>(F132)+(F140)</f>
        <v>-187434.22999999998</v>
      </c>
      <c r="G141" s="9">
        <f>(G132)+(G140)</f>
        <v>-127800</v>
      </c>
      <c r="H141" s="9">
        <f>(F141)-(G141)</f>
        <v>-59634.229999999981</v>
      </c>
      <c r="I141" s="10">
        <f>IF(G141=0,"",(F141)/(G141))</f>
        <v>1.46662151799687</v>
      </c>
      <c r="J141" s="9">
        <f>(J132)+(J140)</f>
        <v>-1237774.8900000001</v>
      </c>
      <c r="K141" s="9">
        <f>(K132)+(K140)</f>
        <v>-1804175</v>
      </c>
      <c r="L141" s="9">
        <f>(J141)-(K141)</f>
        <v>566400.10999999987</v>
      </c>
      <c r="M141" s="10">
        <f>IF(K141=0,"",(J141)/(K141))</f>
        <v>0.68606143528205421</v>
      </c>
      <c r="N141" s="9">
        <f>(N132)+(N140)</f>
        <v>2150131.7999999998</v>
      </c>
      <c r="O141" s="9">
        <f>(O132)+(O140)</f>
        <v>2271500</v>
      </c>
      <c r="P141" s="9">
        <f>(N141)-(O141)</f>
        <v>-121368.20000000019</v>
      </c>
      <c r="Q141" s="10">
        <f>IF(O141=0,"",(N141)/(O141))</f>
        <v>0.94656913933524089</v>
      </c>
      <c r="R141" s="9">
        <f>(R132)+(R140)</f>
        <v>7915.83</v>
      </c>
      <c r="S141" s="9">
        <f>(S132)+(S140)</f>
        <v>0</v>
      </c>
      <c r="T141" s="9">
        <f>(R141)-(S141)</f>
        <v>7915.83</v>
      </c>
      <c r="U141" s="10" t="str">
        <f>IF(S141=0,"",(R141)/(S141))</f>
        <v/>
      </c>
      <c r="V141" s="9">
        <f t="shared" si="57"/>
        <v>693623.75999999966</v>
      </c>
      <c r="W141" s="9">
        <f t="shared" si="57"/>
        <v>71525</v>
      </c>
      <c r="X141" s="9">
        <f>(V141)-(W141)</f>
        <v>622098.75999999966</v>
      </c>
      <c r="Y141" s="10">
        <f>IF(W141=0,"",(V141)/(W141))</f>
        <v>9.697640824886399</v>
      </c>
    </row>
    <row r="142" spans="1:25" x14ac:dyDescent="0.25">
      <c r="A142" s="3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</row>
    <row r="145" spans="1:25" x14ac:dyDescent="0.25">
      <c r="A145" s="80" t="s">
        <v>145</v>
      </c>
      <c r="B145" s="81"/>
      <c r="C145" s="81"/>
      <c r="D145" s="81"/>
      <c r="E145" s="81"/>
      <c r="F145" s="81"/>
      <c r="G145" s="81"/>
      <c r="H145" s="81"/>
      <c r="I145" s="81"/>
      <c r="J145" s="81"/>
      <c r="K145" s="81"/>
      <c r="L145" s="81"/>
      <c r="M145" s="81"/>
      <c r="N145" s="81"/>
      <c r="O145" s="81"/>
      <c r="P145" s="81"/>
      <c r="Q145" s="81"/>
      <c r="R145" s="81"/>
      <c r="S145" s="81"/>
      <c r="T145" s="81"/>
      <c r="U145" s="81"/>
      <c r="V145" s="81"/>
      <c r="W145" s="81"/>
      <c r="X145" s="81"/>
      <c r="Y145" s="81"/>
    </row>
  </sheetData>
  <mergeCells count="10">
    <mergeCell ref="V5:Y5"/>
    <mergeCell ref="A145:Y145"/>
    <mergeCell ref="A1:Y1"/>
    <mergeCell ref="A2:Y2"/>
    <mergeCell ref="A3:Y3"/>
    <mergeCell ref="B5:E5"/>
    <mergeCell ref="F5:I5"/>
    <mergeCell ref="J5:M5"/>
    <mergeCell ref="N5:Q5"/>
    <mergeCell ref="R5:U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B85C32-3078-4619-8F79-64CAE6F2918B}">
  <dimension ref="A1:AF145"/>
  <sheetViews>
    <sheetView tabSelected="1" zoomScaleNormal="100" workbookViewId="0">
      <pane ySplit="6" topLeftCell="A35" activePane="bottomLeft" state="frozen"/>
      <selection pane="bottomLeft" activeCell="AJ6" sqref="AJ6"/>
    </sheetView>
  </sheetViews>
  <sheetFormatPr defaultRowHeight="15" x14ac:dyDescent="0.25"/>
  <cols>
    <col min="1" max="1" width="30.7109375" customWidth="1"/>
    <col min="2" max="2" width="11.140625" customWidth="1"/>
    <col min="3" max="3" width="10.85546875" customWidth="1"/>
    <col min="4" max="4" width="13.140625" style="44" customWidth="1"/>
    <col min="5" max="5" width="13.42578125" hidden="1" customWidth="1"/>
    <col min="6" max="6" width="6.140625" hidden="1" customWidth="1"/>
    <col min="7" max="7" width="12" customWidth="1"/>
    <col min="8" max="8" width="11" bestFit="1" customWidth="1"/>
    <col min="9" max="9" width="13.42578125" style="44" customWidth="1"/>
    <col min="10" max="10" width="10" hidden="1" customWidth="1"/>
    <col min="11" max="11" width="6.28515625" hidden="1" customWidth="1"/>
    <col min="12" max="12" width="13.7109375" customWidth="1"/>
    <col min="13" max="13" width="14" customWidth="1"/>
    <col min="14" max="14" width="14.85546875" style="44" customWidth="1"/>
    <col min="15" max="15" width="10" hidden="1" customWidth="1"/>
    <col min="16" max="16" width="2" hidden="1" customWidth="1"/>
    <col min="17" max="18" width="12" hidden="1" customWidth="1"/>
    <col min="19" max="19" width="12" style="11" hidden="1" customWidth="1"/>
    <col min="20" max="20" width="10" hidden="1" customWidth="1"/>
    <col min="21" max="21" width="6.5703125" hidden="1" customWidth="1"/>
    <col min="22" max="22" width="10.28515625" hidden="1" customWidth="1"/>
    <col min="23" max="23" width="7.7109375" hidden="1" customWidth="1"/>
    <col min="24" max="24" width="7.7109375" style="11" hidden="1" customWidth="1"/>
    <col min="25" max="25" width="10" hidden="1" customWidth="1"/>
    <col min="26" max="26" width="6.28515625" hidden="1" customWidth="1"/>
    <col min="27" max="28" width="12" customWidth="1"/>
    <col min="29" max="29" width="12" style="44" customWidth="1"/>
    <col min="30" max="30" width="10" hidden="1" customWidth="1"/>
    <col min="31" max="31" width="9.42578125" customWidth="1"/>
    <col min="32" max="32" width="15.5703125" style="44" customWidth="1"/>
  </cols>
  <sheetData>
    <row r="1" spans="1:32" ht="18" x14ac:dyDescent="0.25">
      <c r="A1" s="82" t="s">
        <v>146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  <c r="AC1" s="81"/>
      <c r="AD1" s="81"/>
      <c r="AE1" s="81"/>
    </row>
    <row r="2" spans="1:32" ht="18" x14ac:dyDescent="0.25">
      <c r="A2" s="82" t="s">
        <v>154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</row>
    <row r="3" spans="1:32" x14ac:dyDescent="0.25">
      <c r="A3" s="83" t="s">
        <v>153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  <c r="AA3" s="81"/>
      <c r="AB3" s="81"/>
      <c r="AC3" s="81"/>
      <c r="AD3" s="81"/>
      <c r="AE3" s="81"/>
    </row>
    <row r="4" spans="1:32" ht="33" customHeight="1" x14ac:dyDescent="0.25">
      <c r="Q4" s="85" t="s">
        <v>159</v>
      </c>
      <c r="R4" s="79"/>
      <c r="S4" s="79"/>
      <c r="T4" s="79"/>
      <c r="U4" s="79"/>
      <c r="V4" s="79"/>
      <c r="W4" s="86"/>
      <c r="X4" s="56"/>
      <c r="Y4" s="55"/>
      <c r="Z4" s="55"/>
    </row>
    <row r="5" spans="1:32" x14ac:dyDescent="0.25">
      <c r="A5" s="1"/>
      <c r="B5" s="78" t="s">
        <v>0</v>
      </c>
      <c r="C5" s="79"/>
      <c r="D5" s="79"/>
      <c r="E5" s="79"/>
      <c r="F5" s="79"/>
      <c r="G5" s="78" t="s">
        <v>1</v>
      </c>
      <c r="H5" s="79"/>
      <c r="I5" s="79"/>
      <c r="J5" s="79"/>
      <c r="K5" s="79"/>
      <c r="L5" s="78" t="s">
        <v>2</v>
      </c>
      <c r="M5" s="79"/>
      <c r="N5" s="79"/>
      <c r="O5" s="79"/>
      <c r="P5" s="79"/>
      <c r="Q5" s="84" t="s">
        <v>3</v>
      </c>
      <c r="R5" s="85"/>
      <c r="S5" s="85"/>
      <c r="T5" s="85"/>
      <c r="U5" s="85"/>
      <c r="V5" s="84" t="s">
        <v>4</v>
      </c>
      <c r="W5" s="85"/>
      <c r="X5" s="85"/>
      <c r="Y5" s="85"/>
      <c r="Z5" s="85"/>
      <c r="AA5" s="78" t="s">
        <v>5</v>
      </c>
      <c r="AB5" s="79"/>
      <c r="AC5" s="79"/>
      <c r="AD5" s="79"/>
      <c r="AE5" s="79"/>
    </row>
    <row r="6" spans="1:32" ht="109.5" thickBot="1" x14ac:dyDescent="0.3">
      <c r="A6" s="12"/>
      <c r="B6" s="13" t="s">
        <v>156</v>
      </c>
      <c r="C6" s="13" t="s">
        <v>155</v>
      </c>
      <c r="D6" s="32" t="s">
        <v>157</v>
      </c>
      <c r="E6" s="13" t="s">
        <v>8</v>
      </c>
      <c r="F6" s="13" t="s">
        <v>9</v>
      </c>
      <c r="G6" s="13" t="s">
        <v>156</v>
      </c>
      <c r="H6" s="13" t="s">
        <v>155</v>
      </c>
      <c r="I6" s="32" t="s">
        <v>157</v>
      </c>
      <c r="J6" s="13" t="s">
        <v>8</v>
      </c>
      <c r="K6" s="13" t="s">
        <v>9</v>
      </c>
      <c r="L6" s="13" t="s">
        <v>156</v>
      </c>
      <c r="M6" s="13" t="s">
        <v>155</v>
      </c>
      <c r="N6" s="32" t="s">
        <v>157</v>
      </c>
      <c r="O6" s="13" t="s">
        <v>8</v>
      </c>
      <c r="P6" s="13" t="s">
        <v>9</v>
      </c>
      <c r="Q6" s="57" t="s">
        <v>156</v>
      </c>
      <c r="R6" s="57" t="s">
        <v>155</v>
      </c>
      <c r="S6" s="58" t="s">
        <v>157</v>
      </c>
      <c r="T6" s="57" t="s">
        <v>8</v>
      </c>
      <c r="U6" s="57" t="s">
        <v>9</v>
      </c>
      <c r="V6" s="57" t="s">
        <v>156</v>
      </c>
      <c r="W6" s="57" t="s">
        <v>155</v>
      </c>
      <c r="X6" s="58" t="s">
        <v>157</v>
      </c>
      <c r="Y6" s="57" t="s">
        <v>8</v>
      </c>
      <c r="Z6" s="57" t="s">
        <v>9</v>
      </c>
      <c r="AA6" s="13" t="s">
        <v>6</v>
      </c>
      <c r="AB6" s="13" t="s">
        <v>7</v>
      </c>
      <c r="AC6" s="32" t="s">
        <v>149</v>
      </c>
      <c r="AD6" s="13" t="s">
        <v>8</v>
      </c>
      <c r="AE6" s="13" t="s">
        <v>150</v>
      </c>
      <c r="AF6" s="32" t="s">
        <v>151</v>
      </c>
    </row>
    <row r="7" spans="1:32" x14ac:dyDescent="0.25">
      <c r="A7" s="3" t="s">
        <v>10</v>
      </c>
      <c r="B7" s="4"/>
      <c r="C7" s="4"/>
      <c r="D7" s="33"/>
      <c r="E7" s="4"/>
      <c r="F7" s="4"/>
      <c r="G7" s="4"/>
      <c r="H7" s="4"/>
      <c r="I7" s="33"/>
      <c r="J7" s="4"/>
      <c r="K7" s="4"/>
      <c r="L7" s="4"/>
      <c r="M7" s="4"/>
      <c r="N7" s="33"/>
      <c r="O7" s="4"/>
      <c r="P7" s="4"/>
      <c r="Q7" s="59"/>
      <c r="R7" s="59"/>
      <c r="S7" s="60"/>
      <c r="T7" s="59"/>
      <c r="U7" s="59"/>
      <c r="V7" s="59"/>
      <c r="W7" s="59"/>
      <c r="X7" s="60"/>
      <c r="Y7" s="59"/>
      <c r="Z7" s="59"/>
      <c r="AA7" s="4"/>
      <c r="AB7" s="4"/>
      <c r="AC7" s="33">
        <f>SUM(D7,I7,N7,S7,X7)</f>
        <v>0</v>
      </c>
      <c r="AD7" s="4"/>
      <c r="AE7" s="4"/>
      <c r="AF7" s="46">
        <f>AC7-AB7</f>
        <v>0</v>
      </c>
    </row>
    <row r="8" spans="1:32" x14ac:dyDescent="0.25">
      <c r="A8" s="3" t="s">
        <v>11</v>
      </c>
      <c r="B8" s="4"/>
      <c r="C8" s="4"/>
      <c r="D8" s="34"/>
      <c r="E8" s="5">
        <f t="shared" ref="E8:E50" si="0">(B8)-(C8)</f>
        <v>0</v>
      </c>
      <c r="F8" s="6" t="str">
        <f t="shared" ref="F8:F50" si="1">IF(C8=0,"",(B8)/(C8))</f>
        <v/>
      </c>
      <c r="G8" s="4"/>
      <c r="H8" s="4"/>
      <c r="I8" s="34"/>
      <c r="J8" s="5">
        <f t="shared" ref="J8:J50" si="2">(G8)-(H8)</f>
        <v>0</v>
      </c>
      <c r="K8" s="6" t="str">
        <f t="shared" ref="K8:K50" si="3">IF(H8=0,"",(G8)/(H8))</f>
        <v/>
      </c>
      <c r="L8" s="4"/>
      <c r="M8" s="5">
        <f>0</f>
        <v>0</v>
      </c>
      <c r="N8" s="37"/>
      <c r="O8" s="5">
        <f t="shared" ref="O8:O50" si="4">(L8)-(M8)</f>
        <v>0</v>
      </c>
      <c r="P8" s="6" t="str">
        <f t="shared" ref="P8:P50" si="5">IF(M8=0,"",(L8)/(M8))</f>
        <v/>
      </c>
      <c r="Q8" s="59"/>
      <c r="R8" s="59"/>
      <c r="S8" s="61"/>
      <c r="T8" s="62">
        <f t="shared" ref="T8:T50" si="6">(Q8)-(R8)</f>
        <v>0</v>
      </c>
      <c r="U8" s="63" t="str">
        <f t="shared" ref="U8:U50" si="7">IF(R8=0,"",(Q8)/(R8))</f>
        <v/>
      </c>
      <c r="V8" s="59"/>
      <c r="W8" s="59"/>
      <c r="X8" s="61"/>
      <c r="Y8" s="62">
        <f t="shared" ref="Y8:Y35" si="8">(V8)-(W8)</f>
        <v>0</v>
      </c>
      <c r="Z8" s="63" t="str">
        <f t="shared" ref="Z8:Z35" si="9">IF(W8=0,"",(V8)/(W8))</f>
        <v/>
      </c>
      <c r="AA8" s="5">
        <f t="shared" ref="AA8:AA50" si="10">((((B8)+(G8))+(L8))+(Q8))+(V8)</f>
        <v>0</v>
      </c>
      <c r="AB8" s="5">
        <f t="shared" ref="AB8:AB50" si="11">((((C8)+(H8))+(M8))+(R8))+(W8)</f>
        <v>0</v>
      </c>
      <c r="AC8" s="34">
        <f t="shared" ref="AC8:AC70" si="12">SUM(D8,I8,N8,S8,X8)</f>
        <v>0</v>
      </c>
      <c r="AD8" s="5">
        <f t="shared" ref="AD8:AD50" si="13">(AA8)-(AB8)</f>
        <v>0</v>
      </c>
      <c r="AE8" s="6" t="str">
        <f t="shared" ref="AE8:AE50" si="14">IF(AB8=0,"",(AA8)/(AB8))</f>
        <v/>
      </c>
      <c r="AF8" s="47">
        <f t="shared" ref="AF8:AF71" si="15">AC8-AB8</f>
        <v>0</v>
      </c>
    </row>
    <row r="9" spans="1:32" x14ac:dyDescent="0.25">
      <c r="A9" s="3" t="s">
        <v>12</v>
      </c>
      <c r="B9" s="4"/>
      <c r="C9" s="4"/>
      <c r="D9" s="34"/>
      <c r="E9" s="5">
        <f t="shared" si="0"/>
        <v>0</v>
      </c>
      <c r="F9" s="6" t="str">
        <f t="shared" si="1"/>
        <v/>
      </c>
      <c r="G9" s="4"/>
      <c r="H9" s="4"/>
      <c r="I9" s="34"/>
      <c r="J9" s="5">
        <f t="shared" si="2"/>
        <v>0</v>
      </c>
      <c r="K9" s="6" t="str">
        <f t="shared" si="3"/>
        <v/>
      </c>
      <c r="L9" s="5">
        <f>6485</f>
        <v>6485</v>
      </c>
      <c r="M9" s="5">
        <f>4500</f>
        <v>4500</v>
      </c>
      <c r="N9" s="37">
        <v>6500</v>
      </c>
      <c r="O9" s="5">
        <f t="shared" si="4"/>
        <v>1985</v>
      </c>
      <c r="P9" s="6">
        <f t="shared" si="5"/>
        <v>1.441111111111111</v>
      </c>
      <c r="Q9" s="59"/>
      <c r="R9" s="59"/>
      <c r="S9" s="61"/>
      <c r="T9" s="62">
        <f t="shared" si="6"/>
        <v>0</v>
      </c>
      <c r="U9" s="63" t="str">
        <f t="shared" si="7"/>
        <v/>
      </c>
      <c r="V9" s="59"/>
      <c r="W9" s="59"/>
      <c r="X9" s="61"/>
      <c r="Y9" s="62">
        <f t="shared" si="8"/>
        <v>0</v>
      </c>
      <c r="Z9" s="63" t="str">
        <f t="shared" si="9"/>
        <v/>
      </c>
      <c r="AA9" s="5">
        <f t="shared" si="10"/>
        <v>6485</v>
      </c>
      <c r="AB9" s="5">
        <f t="shared" si="11"/>
        <v>4500</v>
      </c>
      <c r="AC9" s="34">
        <f t="shared" si="12"/>
        <v>6500</v>
      </c>
      <c r="AD9" s="5">
        <f t="shared" si="13"/>
        <v>1985</v>
      </c>
      <c r="AE9" s="6">
        <f t="shared" si="14"/>
        <v>1.441111111111111</v>
      </c>
      <c r="AF9" s="47">
        <f t="shared" si="15"/>
        <v>2000</v>
      </c>
    </row>
    <row r="10" spans="1:32" ht="23.25" x14ac:dyDescent="0.25">
      <c r="A10" s="3" t="s">
        <v>13</v>
      </c>
      <c r="B10" s="4"/>
      <c r="C10" s="4"/>
      <c r="D10" s="34"/>
      <c r="E10" s="5">
        <f t="shared" si="0"/>
        <v>0</v>
      </c>
      <c r="F10" s="6" t="str">
        <f t="shared" si="1"/>
        <v/>
      </c>
      <c r="G10" s="4"/>
      <c r="H10" s="4"/>
      <c r="I10" s="34"/>
      <c r="J10" s="5">
        <f t="shared" si="2"/>
        <v>0</v>
      </c>
      <c r="K10" s="6" t="str">
        <f t="shared" si="3"/>
        <v/>
      </c>
      <c r="L10" s="5">
        <f>111903.51</f>
        <v>111903.51</v>
      </c>
      <c r="M10" s="5">
        <f>105000</f>
        <v>105000</v>
      </c>
      <c r="N10" s="37">
        <v>112000</v>
      </c>
      <c r="O10" s="5">
        <f t="shared" si="4"/>
        <v>6903.5099999999948</v>
      </c>
      <c r="P10" s="6">
        <f t="shared" si="5"/>
        <v>1.0657477142857141</v>
      </c>
      <c r="Q10" s="62">
        <f>300</f>
        <v>300</v>
      </c>
      <c r="R10" s="59"/>
      <c r="S10" s="61"/>
      <c r="T10" s="62">
        <f t="shared" si="6"/>
        <v>300</v>
      </c>
      <c r="U10" s="63" t="str">
        <f t="shared" si="7"/>
        <v/>
      </c>
      <c r="V10" s="59"/>
      <c r="W10" s="59"/>
      <c r="X10" s="61"/>
      <c r="Y10" s="62">
        <f t="shared" si="8"/>
        <v>0</v>
      </c>
      <c r="Z10" s="63" t="str">
        <f t="shared" si="9"/>
        <v/>
      </c>
      <c r="AA10" s="5">
        <f t="shared" si="10"/>
        <v>112203.51</v>
      </c>
      <c r="AB10" s="5">
        <f t="shared" si="11"/>
        <v>105000</v>
      </c>
      <c r="AC10" s="34">
        <f t="shared" si="12"/>
        <v>112000</v>
      </c>
      <c r="AD10" s="5">
        <f t="shared" si="13"/>
        <v>7203.5099999999948</v>
      </c>
      <c r="AE10" s="6">
        <f t="shared" si="14"/>
        <v>1.068604857142857</v>
      </c>
      <c r="AF10" s="47">
        <f t="shared" si="15"/>
        <v>7000</v>
      </c>
    </row>
    <row r="11" spans="1:32" ht="15.75" thickBot="1" x14ac:dyDescent="0.3">
      <c r="A11" s="3" t="s">
        <v>14</v>
      </c>
      <c r="B11" s="4"/>
      <c r="C11" s="4"/>
      <c r="D11" s="35"/>
      <c r="E11" s="5">
        <f t="shared" si="0"/>
        <v>0</v>
      </c>
      <c r="F11" s="6" t="str">
        <f t="shared" si="1"/>
        <v/>
      </c>
      <c r="G11" s="4"/>
      <c r="H11" s="4"/>
      <c r="I11" s="35"/>
      <c r="J11" s="5">
        <f t="shared" si="2"/>
        <v>0</v>
      </c>
      <c r="K11" s="6" t="str">
        <f t="shared" si="3"/>
        <v/>
      </c>
      <c r="L11" s="5">
        <f>7700</f>
        <v>7700</v>
      </c>
      <c r="M11" s="5">
        <f>7700</f>
        <v>7700</v>
      </c>
      <c r="N11" s="39">
        <v>7700</v>
      </c>
      <c r="O11" s="5">
        <f t="shared" si="4"/>
        <v>0</v>
      </c>
      <c r="P11" s="6">
        <f t="shared" si="5"/>
        <v>1</v>
      </c>
      <c r="Q11" s="59"/>
      <c r="R11" s="59"/>
      <c r="S11" s="64"/>
      <c r="T11" s="62">
        <f t="shared" si="6"/>
        <v>0</v>
      </c>
      <c r="U11" s="63" t="str">
        <f t="shared" si="7"/>
        <v/>
      </c>
      <c r="V11" s="59"/>
      <c r="W11" s="59"/>
      <c r="X11" s="64"/>
      <c r="Y11" s="62">
        <f t="shared" si="8"/>
        <v>0</v>
      </c>
      <c r="Z11" s="63" t="str">
        <f t="shared" si="9"/>
        <v/>
      </c>
      <c r="AA11" s="5">
        <f t="shared" si="10"/>
        <v>7700</v>
      </c>
      <c r="AB11" s="5">
        <f t="shared" si="11"/>
        <v>7700</v>
      </c>
      <c r="AC11" s="35">
        <f t="shared" si="12"/>
        <v>7700</v>
      </c>
      <c r="AD11" s="5">
        <f t="shared" si="13"/>
        <v>0</v>
      </c>
      <c r="AE11" s="6">
        <f t="shared" si="14"/>
        <v>1</v>
      </c>
      <c r="AF11" s="48">
        <f t="shared" si="15"/>
        <v>0</v>
      </c>
    </row>
    <row r="12" spans="1:32" ht="15.75" thickBot="1" x14ac:dyDescent="0.3">
      <c r="A12" s="18" t="s">
        <v>15</v>
      </c>
      <c r="B12" s="30">
        <f>(((B8)+(B9))+(B10))+(B11)</f>
        <v>0</v>
      </c>
      <c r="C12" s="16">
        <f>(((C8)+(C9))+(C10))+(C11)</f>
        <v>0</v>
      </c>
      <c r="D12" s="36">
        <f>(((D8)+(D9))+(D10))+(D11)</f>
        <v>0</v>
      </c>
      <c r="E12" s="16">
        <f t="shared" si="0"/>
        <v>0</v>
      </c>
      <c r="F12" s="17" t="str">
        <f t="shared" si="1"/>
        <v/>
      </c>
      <c r="G12" s="16">
        <f>(((G8)+(G9))+(G10))+(G11)</f>
        <v>0</v>
      </c>
      <c r="H12" s="16">
        <f>(((H8)+(H9))+(H10))+(H11)</f>
        <v>0</v>
      </c>
      <c r="I12" s="36">
        <f>(((I8)+(I9))+(I10))+(I11)</f>
        <v>0</v>
      </c>
      <c r="J12" s="16">
        <f t="shared" si="2"/>
        <v>0</v>
      </c>
      <c r="K12" s="17" t="str">
        <f t="shared" si="3"/>
        <v/>
      </c>
      <c r="L12" s="16">
        <f>(((L8)+(L9))+(L10))+(L11)</f>
        <v>126088.51</v>
      </c>
      <c r="M12" s="16">
        <f>(((M8)+(M9))+(M10))+(M11)</f>
        <v>117200</v>
      </c>
      <c r="N12" s="36">
        <f>(((N8)+(N9))+(N10))+(N11)</f>
        <v>126200</v>
      </c>
      <c r="O12" s="16">
        <f t="shared" si="4"/>
        <v>8888.5099999999948</v>
      </c>
      <c r="P12" s="17">
        <f t="shared" si="5"/>
        <v>1.0758405290102389</v>
      </c>
      <c r="Q12" s="65">
        <f>(((Q8)+(Q9))+(Q10))+(Q11)</f>
        <v>300</v>
      </c>
      <c r="R12" s="65">
        <f>(((R8)+(R9))+(R10))+(R11)</f>
        <v>0</v>
      </c>
      <c r="S12" s="65">
        <f>(((S8)+(S9))+(S10))+(S11)</f>
        <v>0</v>
      </c>
      <c r="T12" s="65">
        <f t="shared" si="6"/>
        <v>300</v>
      </c>
      <c r="U12" s="66" t="str">
        <f t="shared" si="7"/>
        <v/>
      </c>
      <c r="V12" s="65">
        <f>(((V8)+(V9))+(V10))+(V11)</f>
        <v>0</v>
      </c>
      <c r="W12" s="65">
        <f>(((W8)+(W9))+(W10))+(W11)</f>
        <v>0</v>
      </c>
      <c r="X12" s="65">
        <f>(((X8)+(X9))+(X10))+(X11)</f>
        <v>0</v>
      </c>
      <c r="Y12" s="65">
        <f t="shared" si="8"/>
        <v>0</v>
      </c>
      <c r="Z12" s="66" t="str">
        <f t="shared" si="9"/>
        <v/>
      </c>
      <c r="AA12" s="16">
        <f t="shared" si="10"/>
        <v>126388.51</v>
      </c>
      <c r="AB12" s="16">
        <f t="shared" si="11"/>
        <v>117200</v>
      </c>
      <c r="AC12" s="36">
        <f>((((D12)+(I12))+(N12))+(S12))+(X12)</f>
        <v>126200</v>
      </c>
      <c r="AD12" s="16">
        <f t="shared" si="13"/>
        <v>9188.5099999999948</v>
      </c>
      <c r="AE12" s="17">
        <f t="shared" si="14"/>
        <v>1.0784002559726962</v>
      </c>
      <c r="AF12" s="49">
        <f t="shared" si="15"/>
        <v>9000</v>
      </c>
    </row>
    <row r="13" spans="1:32" x14ac:dyDescent="0.25">
      <c r="A13" s="3" t="s">
        <v>16</v>
      </c>
      <c r="B13" s="5">
        <f>0</f>
        <v>0</v>
      </c>
      <c r="C13" s="4"/>
      <c r="D13" s="33"/>
      <c r="E13" s="5">
        <f t="shared" si="0"/>
        <v>0</v>
      </c>
      <c r="F13" s="6" t="str">
        <f t="shared" si="1"/>
        <v/>
      </c>
      <c r="G13" s="4"/>
      <c r="H13" s="4"/>
      <c r="I13" s="33"/>
      <c r="J13" s="5">
        <f t="shared" si="2"/>
        <v>0</v>
      </c>
      <c r="K13" s="6" t="str">
        <f t="shared" si="3"/>
        <v/>
      </c>
      <c r="L13" s="4"/>
      <c r="M13" s="4"/>
      <c r="N13" s="33"/>
      <c r="O13" s="5">
        <f t="shared" si="4"/>
        <v>0</v>
      </c>
      <c r="P13" s="6" t="str">
        <f t="shared" si="5"/>
        <v/>
      </c>
      <c r="Q13" s="59"/>
      <c r="R13" s="59"/>
      <c r="S13" s="60"/>
      <c r="T13" s="62">
        <f t="shared" si="6"/>
        <v>0</v>
      </c>
      <c r="U13" s="63" t="str">
        <f t="shared" si="7"/>
        <v/>
      </c>
      <c r="V13" s="59"/>
      <c r="W13" s="59"/>
      <c r="X13" s="60"/>
      <c r="Y13" s="62">
        <f t="shared" si="8"/>
        <v>0</v>
      </c>
      <c r="Z13" s="63" t="str">
        <f t="shared" si="9"/>
        <v/>
      </c>
      <c r="AA13" s="5">
        <f t="shared" si="10"/>
        <v>0</v>
      </c>
      <c r="AB13" s="5">
        <f t="shared" si="11"/>
        <v>0</v>
      </c>
      <c r="AC13" s="33">
        <f t="shared" si="12"/>
        <v>0</v>
      </c>
      <c r="AD13" s="5">
        <f t="shared" si="13"/>
        <v>0</v>
      </c>
      <c r="AE13" s="6" t="str">
        <f t="shared" si="14"/>
        <v/>
      </c>
      <c r="AF13" s="46">
        <f t="shared" si="15"/>
        <v>0</v>
      </c>
    </row>
    <row r="14" spans="1:32" x14ac:dyDescent="0.25">
      <c r="A14" s="3" t="s">
        <v>17</v>
      </c>
      <c r="B14" s="5">
        <f>48444</f>
        <v>48444</v>
      </c>
      <c r="C14" s="5">
        <f>32000</f>
        <v>32000</v>
      </c>
      <c r="D14" s="37">
        <v>45000</v>
      </c>
      <c r="E14" s="5">
        <f t="shared" si="0"/>
        <v>16444</v>
      </c>
      <c r="F14" s="6">
        <f t="shared" si="1"/>
        <v>1.5138750000000001</v>
      </c>
      <c r="G14" s="4"/>
      <c r="H14" s="4"/>
      <c r="I14" s="34"/>
      <c r="J14" s="5">
        <f t="shared" si="2"/>
        <v>0</v>
      </c>
      <c r="K14" s="6" t="str">
        <f t="shared" si="3"/>
        <v/>
      </c>
      <c r="L14" s="4"/>
      <c r="M14" s="5">
        <f>0</f>
        <v>0</v>
      </c>
      <c r="N14" s="37"/>
      <c r="O14" s="5">
        <f t="shared" si="4"/>
        <v>0</v>
      </c>
      <c r="P14" s="6" t="str">
        <f t="shared" si="5"/>
        <v/>
      </c>
      <c r="Q14" s="59"/>
      <c r="R14" s="59"/>
      <c r="S14" s="61"/>
      <c r="T14" s="62">
        <f t="shared" si="6"/>
        <v>0</v>
      </c>
      <c r="U14" s="63" t="str">
        <f t="shared" si="7"/>
        <v/>
      </c>
      <c r="V14" s="59"/>
      <c r="W14" s="59"/>
      <c r="X14" s="61"/>
      <c r="Y14" s="62">
        <f t="shared" si="8"/>
        <v>0</v>
      </c>
      <c r="Z14" s="63" t="str">
        <f t="shared" si="9"/>
        <v/>
      </c>
      <c r="AA14" s="5">
        <f t="shared" si="10"/>
        <v>48444</v>
      </c>
      <c r="AB14" s="5">
        <f t="shared" si="11"/>
        <v>32000</v>
      </c>
      <c r="AC14" s="34">
        <f t="shared" si="12"/>
        <v>45000</v>
      </c>
      <c r="AD14" s="5">
        <f t="shared" si="13"/>
        <v>16444</v>
      </c>
      <c r="AE14" s="6">
        <f t="shared" si="14"/>
        <v>1.5138750000000001</v>
      </c>
      <c r="AF14" s="47">
        <f t="shared" si="15"/>
        <v>13000</v>
      </c>
    </row>
    <row r="15" spans="1:32" x14ac:dyDescent="0.25">
      <c r="A15" s="3" t="s">
        <v>18</v>
      </c>
      <c r="B15" s="4"/>
      <c r="C15" s="5">
        <f>7500</f>
        <v>7500</v>
      </c>
      <c r="D15" s="37">
        <v>10000</v>
      </c>
      <c r="E15" s="5">
        <f t="shared" si="0"/>
        <v>-7500</v>
      </c>
      <c r="F15" s="6">
        <f t="shared" si="1"/>
        <v>0</v>
      </c>
      <c r="G15" s="4"/>
      <c r="H15" s="4"/>
      <c r="I15" s="34"/>
      <c r="J15" s="5">
        <f t="shared" si="2"/>
        <v>0</v>
      </c>
      <c r="K15" s="6" t="str">
        <f t="shared" si="3"/>
        <v/>
      </c>
      <c r="L15" s="4"/>
      <c r="M15" s="5">
        <f>0</f>
        <v>0</v>
      </c>
      <c r="N15" s="37"/>
      <c r="O15" s="5">
        <f t="shared" si="4"/>
        <v>0</v>
      </c>
      <c r="P15" s="6" t="str">
        <f t="shared" si="5"/>
        <v/>
      </c>
      <c r="Q15" s="59"/>
      <c r="R15" s="59"/>
      <c r="S15" s="61"/>
      <c r="T15" s="62">
        <f t="shared" si="6"/>
        <v>0</v>
      </c>
      <c r="U15" s="63" t="str">
        <f t="shared" si="7"/>
        <v/>
      </c>
      <c r="V15" s="59"/>
      <c r="W15" s="59"/>
      <c r="X15" s="61"/>
      <c r="Y15" s="62">
        <f t="shared" si="8"/>
        <v>0</v>
      </c>
      <c r="Z15" s="63" t="str">
        <f t="shared" si="9"/>
        <v/>
      </c>
      <c r="AA15" s="5">
        <f t="shared" si="10"/>
        <v>0</v>
      </c>
      <c r="AB15" s="5">
        <f t="shared" si="11"/>
        <v>7500</v>
      </c>
      <c r="AC15" s="34">
        <f t="shared" si="12"/>
        <v>10000</v>
      </c>
      <c r="AD15" s="5">
        <f t="shared" si="13"/>
        <v>-7500</v>
      </c>
      <c r="AE15" s="6">
        <f t="shared" si="14"/>
        <v>0</v>
      </c>
      <c r="AF15" s="47">
        <f t="shared" si="15"/>
        <v>2500</v>
      </c>
    </row>
    <row r="16" spans="1:32" ht="24" thickBot="1" x14ac:dyDescent="0.3">
      <c r="A16" s="14" t="s">
        <v>19</v>
      </c>
      <c r="B16" s="5">
        <f>50</f>
        <v>50</v>
      </c>
      <c r="C16" s="4"/>
      <c r="D16" s="35"/>
      <c r="E16" s="5">
        <f t="shared" si="0"/>
        <v>50</v>
      </c>
      <c r="F16" s="6" t="str">
        <f t="shared" si="1"/>
        <v/>
      </c>
      <c r="G16" s="4"/>
      <c r="H16" s="4"/>
      <c r="I16" s="35"/>
      <c r="J16" s="5">
        <f t="shared" si="2"/>
        <v>0</v>
      </c>
      <c r="K16" s="6" t="str">
        <f t="shared" si="3"/>
        <v/>
      </c>
      <c r="L16" s="4"/>
      <c r="M16" s="4"/>
      <c r="N16" s="35"/>
      <c r="O16" s="5">
        <f t="shared" si="4"/>
        <v>0</v>
      </c>
      <c r="P16" s="6" t="str">
        <f t="shared" si="5"/>
        <v/>
      </c>
      <c r="Q16" s="59"/>
      <c r="R16" s="59"/>
      <c r="S16" s="64"/>
      <c r="T16" s="62">
        <f t="shared" si="6"/>
        <v>0</v>
      </c>
      <c r="U16" s="63" t="str">
        <f t="shared" si="7"/>
        <v/>
      </c>
      <c r="V16" s="59"/>
      <c r="W16" s="59"/>
      <c r="X16" s="64"/>
      <c r="Y16" s="62">
        <f t="shared" si="8"/>
        <v>0</v>
      </c>
      <c r="Z16" s="63" t="str">
        <f t="shared" si="9"/>
        <v/>
      </c>
      <c r="AA16" s="5">
        <f t="shared" si="10"/>
        <v>50</v>
      </c>
      <c r="AB16" s="5">
        <f t="shared" si="11"/>
        <v>0</v>
      </c>
      <c r="AC16" s="35">
        <f t="shared" si="12"/>
        <v>0</v>
      </c>
      <c r="AD16" s="5">
        <f t="shared" si="13"/>
        <v>50</v>
      </c>
      <c r="AE16" s="6" t="str">
        <f t="shared" si="14"/>
        <v/>
      </c>
      <c r="AF16" s="48">
        <f t="shared" si="15"/>
        <v>0</v>
      </c>
    </row>
    <row r="17" spans="1:32" ht="16.5" thickTop="1" thickBot="1" x14ac:dyDescent="0.3">
      <c r="A17" s="3" t="s">
        <v>20</v>
      </c>
      <c r="B17" s="19">
        <f>(((B13)+(B14))+(B15))+(B16)</f>
        <v>48494</v>
      </c>
      <c r="C17" s="20">
        <f>(((C13)+(C14))+(C15))+(C16)</f>
        <v>39500</v>
      </c>
      <c r="D17" s="38">
        <f>(((D13)+(D14))+(D15))+(D16)</f>
        <v>55000</v>
      </c>
      <c r="E17" s="20">
        <f t="shared" si="0"/>
        <v>8994</v>
      </c>
      <c r="F17" s="21">
        <f t="shared" si="1"/>
        <v>1.2276962025316456</v>
      </c>
      <c r="G17" s="20">
        <f>(((G13)+(G14))+(G15))+(G16)</f>
        <v>0</v>
      </c>
      <c r="H17" s="20">
        <f>(((H13)+(H14))+(H15))+(H16)</f>
        <v>0</v>
      </c>
      <c r="I17" s="38">
        <f>(((I13)+(I14))+(I15))+(I16)</f>
        <v>0</v>
      </c>
      <c r="J17" s="20">
        <f t="shared" si="2"/>
        <v>0</v>
      </c>
      <c r="K17" s="21" t="str">
        <f t="shared" si="3"/>
        <v/>
      </c>
      <c r="L17" s="20">
        <f>(((L13)+(L14))+(L15))+(L16)</f>
        <v>0</v>
      </c>
      <c r="M17" s="20">
        <f>(((M13)+(M14))+(M15))+(M16)</f>
        <v>0</v>
      </c>
      <c r="N17" s="38">
        <f>(((N13)+(N14))+(N15))+(N16)</f>
        <v>0</v>
      </c>
      <c r="O17" s="20">
        <f t="shared" si="4"/>
        <v>0</v>
      </c>
      <c r="P17" s="21" t="str">
        <f t="shared" si="5"/>
        <v/>
      </c>
      <c r="Q17" s="67">
        <f>(((Q13)+(Q14))+(Q15))+(Q16)</f>
        <v>0</v>
      </c>
      <c r="R17" s="67">
        <f>(((R13)+(R14))+(R15))+(R16)</f>
        <v>0</v>
      </c>
      <c r="S17" s="67">
        <f>(((S13)+(S14))+(S15))+(S16)</f>
        <v>0</v>
      </c>
      <c r="T17" s="67">
        <f t="shared" si="6"/>
        <v>0</v>
      </c>
      <c r="U17" s="68" t="str">
        <f t="shared" si="7"/>
        <v/>
      </c>
      <c r="V17" s="67">
        <f>(((V13)+(V14))+(V15))+(V16)</f>
        <v>0</v>
      </c>
      <c r="W17" s="67">
        <f>(((W13)+(W14))+(W15))+(W16)</f>
        <v>0</v>
      </c>
      <c r="X17" s="67">
        <f>(((X13)+(X14))+(X15))+(X16)</f>
        <v>0</v>
      </c>
      <c r="Y17" s="67">
        <f t="shared" si="8"/>
        <v>0</v>
      </c>
      <c r="Z17" s="68" t="str">
        <f t="shared" si="9"/>
        <v/>
      </c>
      <c r="AA17" s="20">
        <f t="shared" si="10"/>
        <v>48494</v>
      </c>
      <c r="AB17" s="20">
        <f t="shared" si="11"/>
        <v>39500</v>
      </c>
      <c r="AC17" s="38">
        <f>((((D17)+(I17))+(N17))+(S17))+(X17)</f>
        <v>55000</v>
      </c>
      <c r="AD17" s="20">
        <f t="shared" si="13"/>
        <v>8994</v>
      </c>
      <c r="AE17" s="21">
        <f t="shared" si="14"/>
        <v>1.2276962025316456</v>
      </c>
      <c r="AF17" s="50">
        <f t="shared" si="15"/>
        <v>15500</v>
      </c>
    </row>
    <row r="18" spans="1:32" ht="15.75" thickTop="1" x14ac:dyDescent="0.25">
      <c r="A18" s="3" t="s">
        <v>21</v>
      </c>
      <c r="B18" s="4"/>
      <c r="C18" s="4"/>
      <c r="D18" s="33"/>
      <c r="E18" s="5">
        <f t="shared" si="0"/>
        <v>0</v>
      </c>
      <c r="F18" s="6" t="str">
        <f t="shared" si="1"/>
        <v/>
      </c>
      <c r="G18" s="4"/>
      <c r="H18" s="4"/>
      <c r="I18" s="33"/>
      <c r="J18" s="5">
        <f t="shared" si="2"/>
        <v>0</v>
      </c>
      <c r="K18" s="6" t="str">
        <f t="shared" si="3"/>
        <v/>
      </c>
      <c r="L18" s="4"/>
      <c r="M18" s="4"/>
      <c r="N18" s="33"/>
      <c r="O18" s="5">
        <f t="shared" si="4"/>
        <v>0</v>
      </c>
      <c r="P18" s="6" t="str">
        <f t="shared" si="5"/>
        <v/>
      </c>
      <c r="Q18" s="59"/>
      <c r="R18" s="59"/>
      <c r="S18" s="60"/>
      <c r="T18" s="62">
        <f t="shared" si="6"/>
        <v>0</v>
      </c>
      <c r="U18" s="63" t="str">
        <f t="shared" si="7"/>
        <v/>
      </c>
      <c r="V18" s="59"/>
      <c r="W18" s="59"/>
      <c r="X18" s="60"/>
      <c r="Y18" s="62">
        <f t="shared" si="8"/>
        <v>0</v>
      </c>
      <c r="Z18" s="63" t="str">
        <f t="shared" si="9"/>
        <v/>
      </c>
      <c r="AA18" s="5">
        <f t="shared" si="10"/>
        <v>0</v>
      </c>
      <c r="AB18" s="5">
        <f t="shared" si="11"/>
        <v>0</v>
      </c>
      <c r="AC18" s="33">
        <f t="shared" si="12"/>
        <v>0</v>
      </c>
      <c r="AD18" s="5">
        <f t="shared" si="13"/>
        <v>0</v>
      </c>
      <c r="AE18" s="6" t="str">
        <f t="shared" si="14"/>
        <v/>
      </c>
      <c r="AF18" s="46">
        <f t="shared" si="15"/>
        <v>0</v>
      </c>
    </row>
    <row r="19" spans="1:32" x14ac:dyDescent="0.25">
      <c r="A19" s="3" t="s">
        <v>22</v>
      </c>
      <c r="B19" s="4"/>
      <c r="C19" s="4"/>
      <c r="D19" s="34">
        <v>1700000</v>
      </c>
      <c r="E19" s="5">
        <f t="shared" si="0"/>
        <v>0</v>
      </c>
      <c r="F19" s="6" t="str">
        <f t="shared" si="1"/>
        <v/>
      </c>
      <c r="G19" s="4"/>
      <c r="H19" s="4"/>
      <c r="I19" s="34"/>
      <c r="J19" s="5">
        <f t="shared" si="2"/>
        <v>0</v>
      </c>
      <c r="K19" s="6" t="str">
        <f t="shared" si="3"/>
        <v/>
      </c>
      <c r="L19" s="4"/>
      <c r="M19" s="4"/>
      <c r="N19" s="34"/>
      <c r="O19" s="5">
        <f t="shared" si="4"/>
        <v>0</v>
      </c>
      <c r="P19" s="6" t="str">
        <f t="shared" si="5"/>
        <v/>
      </c>
      <c r="Q19" s="62">
        <f>1473339</f>
        <v>1473339</v>
      </c>
      <c r="R19" s="62">
        <f>1525000</f>
        <v>1525000</v>
      </c>
      <c r="S19" s="69"/>
      <c r="T19" s="62">
        <f t="shared" si="6"/>
        <v>-51661</v>
      </c>
      <c r="U19" s="63">
        <f t="shared" si="7"/>
        <v>0.96612393442622946</v>
      </c>
      <c r="V19" s="59"/>
      <c r="W19" s="59"/>
      <c r="X19" s="61"/>
      <c r="Y19" s="62">
        <f t="shared" si="8"/>
        <v>0</v>
      </c>
      <c r="Z19" s="63" t="str">
        <f t="shared" si="9"/>
        <v/>
      </c>
      <c r="AA19" s="5">
        <f t="shared" si="10"/>
        <v>1473339</v>
      </c>
      <c r="AB19" s="5">
        <f t="shared" si="11"/>
        <v>1525000</v>
      </c>
      <c r="AC19" s="34">
        <f t="shared" si="12"/>
        <v>1700000</v>
      </c>
      <c r="AD19" s="5">
        <f t="shared" si="13"/>
        <v>-51661</v>
      </c>
      <c r="AE19" s="6">
        <f t="shared" si="14"/>
        <v>0.96612393442622946</v>
      </c>
      <c r="AF19" s="47">
        <f t="shared" si="15"/>
        <v>175000</v>
      </c>
    </row>
    <row r="20" spans="1:32" x14ac:dyDescent="0.25">
      <c r="A20" s="3" t="s">
        <v>23</v>
      </c>
      <c r="B20" s="4"/>
      <c r="C20" s="4"/>
      <c r="D20" s="34"/>
      <c r="E20" s="5">
        <f t="shared" si="0"/>
        <v>0</v>
      </c>
      <c r="F20" s="6" t="str">
        <f t="shared" si="1"/>
        <v/>
      </c>
      <c r="G20" s="4"/>
      <c r="H20" s="4"/>
      <c r="I20" s="34"/>
      <c r="J20" s="5">
        <f t="shared" si="2"/>
        <v>0</v>
      </c>
      <c r="K20" s="6" t="str">
        <f t="shared" si="3"/>
        <v/>
      </c>
      <c r="L20" s="4"/>
      <c r="M20" s="4"/>
      <c r="N20" s="34"/>
      <c r="O20" s="5">
        <f t="shared" si="4"/>
        <v>0</v>
      </c>
      <c r="P20" s="6" t="str">
        <f t="shared" si="5"/>
        <v/>
      </c>
      <c r="Q20" s="59"/>
      <c r="R20" s="62">
        <f>-15000</f>
        <v>-15000</v>
      </c>
      <c r="S20" s="69"/>
      <c r="T20" s="62">
        <f t="shared" si="6"/>
        <v>15000</v>
      </c>
      <c r="U20" s="63">
        <f t="shared" si="7"/>
        <v>0</v>
      </c>
      <c r="V20" s="59"/>
      <c r="W20" s="59"/>
      <c r="X20" s="61"/>
      <c r="Y20" s="62">
        <f t="shared" si="8"/>
        <v>0</v>
      </c>
      <c r="Z20" s="63" t="str">
        <f t="shared" si="9"/>
        <v/>
      </c>
      <c r="AA20" s="5">
        <f t="shared" si="10"/>
        <v>0</v>
      </c>
      <c r="AB20" s="5">
        <f t="shared" si="11"/>
        <v>-15000</v>
      </c>
      <c r="AC20" s="34">
        <f t="shared" si="12"/>
        <v>0</v>
      </c>
      <c r="AD20" s="5">
        <f t="shared" si="13"/>
        <v>15000</v>
      </c>
      <c r="AE20" s="6">
        <f t="shared" si="14"/>
        <v>0</v>
      </c>
      <c r="AF20" s="47">
        <f t="shared" si="15"/>
        <v>15000</v>
      </c>
    </row>
    <row r="21" spans="1:32" x14ac:dyDescent="0.25">
      <c r="A21" s="3" t="s">
        <v>24</v>
      </c>
      <c r="B21" s="4"/>
      <c r="C21" s="4"/>
      <c r="D21" s="34">
        <v>532000</v>
      </c>
      <c r="E21" s="5">
        <f t="shared" si="0"/>
        <v>0</v>
      </c>
      <c r="F21" s="6" t="str">
        <f t="shared" si="1"/>
        <v/>
      </c>
      <c r="G21" s="4"/>
      <c r="H21" s="4"/>
      <c r="I21" s="34"/>
      <c r="J21" s="5">
        <f t="shared" si="2"/>
        <v>0</v>
      </c>
      <c r="K21" s="6" t="str">
        <f t="shared" si="3"/>
        <v/>
      </c>
      <c r="L21" s="4"/>
      <c r="M21" s="4"/>
      <c r="N21" s="34"/>
      <c r="O21" s="5">
        <f t="shared" si="4"/>
        <v>0</v>
      </c>
      <c r="P21" s="6" t="str">
        <f t="shared" si="5"/>
        <v/>
      </c>
      <c r="Q21" s="62">
        <f>536803.39</f>
        <v>536803.39</v>
      </c>
      <c r="R21" s="62">
        <f>402000</f>
        <v>402000</v>
      </c>
      <c r="S21" s="69"/>
      <c r="T21" s="62">
        <f t="shared" si="6"/>
        <v>134803.39000000001</v>
      </c>
      <c r="U21" s="63">
        <f t="shared" si="7"/>
        <v>1.335331815920398</v>
      </c>
      <c r="V21" s="59"/>
      <c r="W21" s="59"/>
      <c r="X21" s="61"/>
      <c r="Y21" s="62">
        <f t="shared" si="8"/>
        <v>0</v>
      </c>
      <c r="Z21" s="63" t="str">
        <f t="shared" si="9"/>
        <v/>
      </c>
      <c r="AA21" s="5">
        <f t="shared" si="10"/>
        <v>536803.39</v>
      </c>
      <c r="AB21" s="5">
        <f t="shared" si="11"/>
        <v>402000</v>
      </c>
      <c r="AC21" s="34">
        <f t="shared" si="12"/>
        <v>532000</v>
      </c>
      <c r="AD21" s="5">
        <f t="shared" si="13"/>
        <v>134803.39000000001</v>
      </c>
      <c r="AE21" s="6">
        <f t="shared" si="14"/>
        <v>1.335331815920398</v>
      </c>
      <c r="AF21" s="47">
        <f t="shared" si="15"/>
        <v>130000</v>
      </c>
    </row>
    <row r="22" spans="1:32" x14ac:dyDescent="0.25">
      <c r="A22" s="3" t="s">
        <v>25</v>
      </c>
      <c r="B22" s="4"/>
      <c r="C22" s="4"/>
      <c r="D22" s="34">
        <v>425000</v>
      </c>
      <c r="E22" s="5">
        <f t="shared" si="0"/>
        <v>0</v>
      </c>
      <c r="F22" s="6" t="str">
        <f t="shared" si="1"/>
        <v/>
      </c>
      <c r="G22" s="4"/>
      <c r="H22" s="4"/>
      <c r="I22" s="34"/>
      <c r="J22" s="5">
        <f t="shared" si="2"/>
        <v>0</v>
      </c>
      <c r="K22" s="6" t="str">
        <f t="shared" si="3"/>
        <v/>
      </c>
      <c r="L22" s="4"/>
      <c r="M22" s="4"/>
      <c r="N22" s="34"/>
      <c r="O22" s="5">
        <f t="shared" si="4"/>
        <v>0</v>
      </c>
      <c r="P22" s="6" t="str">
        <f t="shared" si="5"/>
        <v/>
      </c>
      <c r="Q22" s="62">
        <f>406352.52</f>
        <v>406352.52</v>
      </c>
      <c r="R22" s="62">
        <f>431000</f>
        <v>431000</v>
      </c>
      <c r="S22" s="69"/>
      <c r="T22" s="62">
        <f t="shared" si="6"/>
        <v>-24647.479999999981</v>
      </c>
      <c r="U22" s="63">
        <f t="shared" si="7"/>
        <v>0.94281327146171701</v>
      </c>
      <c r="V22" s="59"/>
      <c r="W22" s="59"/>
      <c r="X22" s="61"/>
      <c r="Y22" s="62">
        <f t="shared" si="8"/>
        <v>0</v>
      </c>
      <c r="Z22" s="63" t="str">
        <f t="shared" si="9"/>
        <v/>
      </c>
      <c r="AA22" s="5">
        <f t="shared" si="10"/>
        <v>406352.52</v>
      </c>
      <c r="AB22" s="5">
        <f t="shared" si="11"/>
        <v>431000</v>
      </c>
      <c r="AC22" s="34">
        <f t="shared" si="12"/>
        <v>425000</v>
      </c>
      <c r="AD22" s="5">
        <f t="shared" si="13"/>
        <v>-24647.479999999981</v>
      </c>
      <c r="AE22" s="6">
        <f t="shared" si="14"/>
        <v>0.94281327146171701</v>
      </c>
      <c r="AF22" s="47">
        <f t="shared" si="15"/>
        <v>-6000</v>
      </c>
    </row>
    <row r="23" spans="1:32" x14ac:dyDescent="0.25">
      <c r="A23" s="3" t="s">
        <v>26</v>
      </c>
      <c r="B23" s="4"/>
      <c r="C23" s="4"/>
      <c r="D23" s="34">
        <v>35000</v>
      </c>
      <c r="E23" s="5">
        <f t="shared" si="0"/>
        <v>0</v>
      </c>
      <c r="F23" s="6" t="str">
        <f t="shared" si="1"/>
        <v/>
      </c>
      <c r="G23" s="4"/>
      <c r="H23" s="4"/>
      <c r="I23" s="34"/>
      <c r="J23" s="5">
        <f t="shared" si="2"/>
        <v>0</v>
      </c>
      <c r="K23" s="6" t="str">
        <f t="shared" si="3"/>
        <v/>
      </c>
      <c r="L23" s="4"/>
      <c r="M23" s="4"/>
      <c r="N23" s="34"/>
      <c r="O23" s="5">
        <f t="shared" si="4"/>
        <v>0</v>
      </c>
      <c r="P23" s="6" t="str">
        <f t="shared" si="5"/>
        <v/>
      </c>
      <c r="Q23" s="62">
        <f>1100</f>
        <v>1100</v>
      </c>
      <c r="R23" s="62">
        <f>35000</f>
        <v>35000</v>
      </c>
      <c r="S23" s="69"/>
      <c r="T23" s="62">
        <f t="shared" si="6"/>
        <v>-33900</v>
      </c>
      <c r="U23" s="63">
        <f t="shared" si="7"/>
        <v>3.1428571428571431E-2</v>
      </c>
      <c r="V23" s="59"/>
      <c r="W23" s="59"/>
      <c r="X23" s="61"/>
      <c r="Y23" s="62">
        <f t="shared" si="8"/>
        <v>0</v>
      </c>
      <c r="Z23" s="63" t="str">
        <f t="shared" si="9"/>
        <v/>
      </c>
      <c r="AA23" s="5">
        <f t="shared" si="10"/>
        <v>1100</v>
      </c>
      <c r="AB23" s="5">
        <f t="shared" si="11"/>
        <v>35000</v>
      </c>
      <c r="AC23" s="34">
        <f t="shared" si="12"/>
        <v>35000</v>
      </c>
      <c r="AD23" s="5">
        <f t="shared" si="13"/>
        <v>-33900</v>
      </c>
      <c r="AE23" s="6">
        <f t="shared" si="14"/>
        <v>3.1428571428571431E-2</v>
      </c>
      <c r="AF23" s="47">
        <f t="shared" si="15"/>
        <v>0</v>
      </c>
    </row>
    <row r="24" spans="1:32" x14ac:dyDescent="0.25">
      <c r="A24" s="3" t="s">
        <v>27</v>
      </c>
      <c r="B24" s="5">
        <f>70</f>
        <v>70</v>
      </c>
      <c r="C24" s="4"/>
      <c r="D24" s="34">
        <v>4000</v>
      </c>
      <c r="E24" s="5">
        <f t="shared" si="0"/>
        <v>70</v>
      </c>
      <c r="F24" s="6" t="str">
        <f t="shared" si="1"/>
        <v/>
      </c>
      <c r="G24" s="4"/>
      <c r="H24" s="4"/>
      <c r="I24" s="34"/>
      <c r="J24" s="5">
        <f t="shared" si="2"/>
        <v>0</v>
      </c>
      <c r="K24" s="6" t="str">
        <f t="shared" si="3"/>
        <v/>
      </c>
      <c r="L24" s="4"/>
      <c r="M24" s="4"/>
      <c r="N24" s="34"/>
      <c r="O24" s="5">
        <f t="shared" si="4"/>
        <v>0</v>
      </c>
      <c r="P24" s="6" t="str">
        <f t="shared" si="5"/>
        <v/>
      </c>
      <c r="Q24" s="62">
        <f>4200</f>
        <v>4200</v>
      </c>
      <c r="R24" s="62">
        <f>1000</f>
        <v>1000</v>
      </c>
      <c r="S24" s="69"/>
      <c r="T24" s="62">
        <f t="shared" si="6"/>
        <v>3200</v>
      </c>
      <c r="U24" s="63">
        <f t="shared" si="7"/>
        <v>4.2</v>
      </c>
      <c r="V24" s="59"/>
      <c r="W24" s="59"/>
      <c r="X24" s="61"/>
      <c r="Y24" s="62">
        <f t="shared" si="8"/>
        <v>0</v>
      </c>
      <c r="Z24" s="63" t="str">
        <f t="shared" si="9"/>
        <v/>
      </c>
      <c r="AA24" s="5">
        <f t="shared" si="10"/>
        <v>4270</v>
      </c>
      <c r="AB24" s="5">
        <f t="shared" si="11"/>
        <v>1000</v>
      </c>
      <c r="AC24" s="34">
        <f t="shared" si="12"/>
        <v>4000</v>
      </c>
      <c r="AD24" s="5">
        <f t="shared" si="13"/>
        <v>3270</v>
      </c>
      <c r="AE24" s="6">
        <f t="shared" si="14"/>
        <v>4.2699999999999996</v>
      </c>
      <c r="AF24" s="47">
        <f t="shared" si="15"/>
        <v>3000</v>
      </c>
    </row>
    <row r="25" spans="1:32" ht="15.75" thickBot="1" x14ac:dyDescent="0.3">
      <c r="A25" s="14" t="s">
        <v>28</v>
      </c>
      <c r="B25" s="4"/>
      <c r="C25" s="4"/>
      <c r="D25" s="35">
        <v>10000</v>
      </c>
      <c r="E25" s="5">
        <f t="shared" si="0"/>
        <v>0</v>
      </c>
      <c r="F25" s="6" t="str">
        <f t="shared" si="1"/>
        <v/>
      </c>
      <c r="G25" s="4"/>
      <c r="H25" s="4"/>
      <c r="I25" s="35"/>
      <c r="J25" s="5">
        <f t="shared" si="2"/>
        <v>0</v>
      </c>
      <c r="K25" s="6" t="str">
        <f t="shared" si="3"/>
        <v/>
      </c>
      <c r="L25" s="4"/>
      <c r="M25" s="4"/>
      <c r="N25" s="35"/>
      <c r="O25" s="5">
        <f t="shared" si="4"/>
        <v>0</v>
      </c>
      <c r="P25" s="6" t="str">
        <f t="shared" si="5"/>
        <v/>
      </c>
      <c r="Q25" s="62">
        <f>8261.98</f>
        <v>8261.98</v>
      </c>
      <c r="R25" s="62">
        <f>7500</f>
        <v>7500</v>
      </c>
      <c r="S25" s="70"/>
      <c r="T25" s="62">
        <f t="shared" si="6"/>
        <v>761.97999999999956</v>
      </c>
      <c r="U25" s="63">
        <f t="shared" si="7"/>
        <v>1.1015973333333333</v>
      </c>
      <c r="V25" s="59"/>
      <c r="W25" s="59"/>
      <c r="X25" s="64"/>
      <c r="Y25" s="62">
        <f t="shared" si="8"/>
        <v>0</v>
      </c>
      <c r="Z25" s="63" t="str">
        <f t="shared" si="9"/>
        <v/>
      </c>
      <c r="AA25" s="5">
        <f t="shared" si="10"/>
        <v>8261.98</v>
      </c>
      <c r="AB25" s="5">
        <f t="shared" si="11"/>
        <v>7500</v>
      </c>
      <c r="AC25" s="35">
        <f t="shared" si="12"/>
        <v>10000</v>
      </c>
      <c r="AD25" s="5">
        <f t="shared" si="13"/>
        <v>761.97999999999956</v>
      </c>
      <c r="AE25" s="6">
        <f t="shared" si="14"/>
        <v>1.1015973333333333</v>
      </c>
      <c r="AF25" s="48">
        <f t="shared" si="15"/>
        <v>2500</v>
      </c>
    </row>
    <row r="26" spans="1:32" ht="16.5" thickTop="1" thickBot="1" x14ac:dyDescent="0.3">
      <c r="A26" s="3" t="s">
        <v>29</v>
      </c>
      <c r="B26" s="19">
        <f>(((((((B18)+(B19))+(B20))+(B21))+(B22))+(B23))+(B24))+(B25)</f>
        <v>70</v>
      </c>
      <c r="C26" s="20">
        <f>(((((((C18)+(C19))+(C20))+(C21))+(C22))+(C23))+(C24))+(C25)</f>
        <v>0</v>
      </c>
      <c r="D26" s="38">
        <f>(((((((D18)+(D19))+(D20))+(D21))+(D22))+(D23))+(D24))+(D25)</f>
        <v>2706000</v>
      </c>
      <c r="E26" s="20">
        <f t="shared" si="0"/>
        <v>70</v>
      </c>
      <c r="F26" s="21" t="str">
        <f t="shared" si="1"/>
        <v/>
      </c>
      <c r="G26" s="20">
        <f>(((((((G18)+(G19))+(G20))+(G21))+(G22))+(G23))+(G24))+(G25)</f>
        <v>0</v>
      </c>
      <c r="H26" s="20">
        <f>(((((((H18)+(H19))+(H20))+(H21))+(H22))+(H23))+(H24))+(H25)</f>
        <v>0</v>
      </c>
      <c r="I26" s="38">
        <f>(((((((I18)+(I19))+(I20))+(I21))+(I22))+(I23))+(I24))+(I25)</f>
        <v>0</v>
      </c>
      <c r="J26" s="20">
        <f t="shared" si="2"/>
        <v>0</v>
      </c>
      <c r="K26" s="21" t="str">
        <f t="shared" si="3"/>
        <v/>
      </c>
      <c r="L26" s="20">
        <f>(((((((L18)+(L19))+(L20))+(L21))+(L22))+(L23))+(L24))+(L25)</f>
        <v>0</v>
      </c>
      <c r="M26" s="20">
        <f>(((((((M18)+(M19))+(M20))+(M21))+(M22))+(M23))+(M24))+(M25)</f>
        <v>0</v>
      </c>
      <c r="N26" s="38">
        <f>(((((((N18)+(N19))+(N20))+(N21))+(N22))+(N23))+(N24))+(N25)</f>
        <v>0</v>
      </c>
      <c r="O26" s="20">
        <f t="shared" si="4"/>
        <v>0</v>
      </c>
      <c r="P26" s="21" t="str">
        <f t="shared" si="5"/>
        <v/>
      </c>
      <c r="Q26" s="67">
        <f>(((((((Q18)+(Q19))+(Q20))+(Q21))+(Q22))+(Q23))+(Q24))+(Q25)</f>
        <v>2430056.89</v>
      </c>
      <c r="R26" s="67">
        <f>(((((((R18)+(R19))+(R20))+(R21))+(R22))+(R23))+(R24))+(R25)</f>
        <v>2386500</v>
      </c>
      <c r="S26" s="67">
        <f>(((((((S18)+(S19))+(S20))+(S21))+(S22))+(S23))+(S24))+(S25)</f>
        <v>0</v>
      </c>
      <c r="T26" s="67">
        <f t="shared" si="6"/>
        <v>43556.89000000013</v>
      </c>
      <c r="U26" s="68">
        <f t="shared" si="7"/>
        <v>1.0182513681122984</v>
      </c>
      <c r="V26" s="67">
        <f>(((((((V18)+(V19))+(V20))+(V21))+(V22))+(V23))+(V24))+(V25)</f>
        <v>0</v>
      </c>
      <c r="W26" s="67">
        <f>(((((((W18)+(W19))+(W20))+(W21))+(W22))+(W23))+(W24))+(W25)</f>
        <v>0</v>
      </c>
      <c r="X26" s="67">
        <f>(((((((X18)+(X19))+(X20))+(X21))+(X22))+(X23))+(X24))+(X25)</f>
        <v>0</v>
      </c>
      <c r="Y26" s="67">
        <f t="shared" si="8"/>
        <v>0</v>
      </c>
      <c r="Z26" s="68" t="str">
        <f t="shared" si="9"/>
        <v/>
      </c>
      <c r="AA26" s="20">
        <f t="shared" si="10"/>
        <v>2430126.89</v>
      </c>
      <c r="AB26" s="20">
        <f t="shared" si="11"/>
        <v>2386500</v>
      </c>
      <c r="AC26" s="38">
        <f>((((D26)+(I26))+(N26))+(S26))+(X26)</f>
        <v>2706000</v>
      </c>
      <c r="AD26" s="20">
        <f t="shared" si="13"/>
        <v>43626.89000000013</v>
      </c>
      <c r="AE26" s="21">
        <f t="shared" si="14"/>
        <v>1.0182806997695371</v>
      </c>
      <c r="AF26" s="50">
        <f t="shared" si="15"/>
        <v>319500</v>
      </c>
    </row>
    <row r="27" spans="1:32" ht="15.75" thickTop="1" x14ac:dyDescent="0.25">
      <c r="A27" s="3" t="s">
        <v>30</v>
      </c>
      <c r="B27" s="4"/>
      <c r="C27" s="4"/>
      <c r="D27" s="33"/>
      <c r="E27" s="5">
        <f t="shared" si="0"/>
        <v>0</v>
      </c>
      <c r="F27" s="6" t="str">
        <f t="shared" si="1"/>
        <v/>
      </c>
      <c r="G27" s="5">
        <f>0</f>
        <v>0</v>
      </c>
      <c r="H27" s="4"/>
      <c r="I27" s="33"/>
      <c r="J27" s="5">
        <f t="shared" si="2"/>
        <v>0</v>
      </c>
      <c r="K27" s="6" t="str">
        <f t="shared" si="3"/>
        <v/>
      </c>
      <c r="L27" s="4"/>
      <c r="M27" s="4"/>
      <c r="N27" s="33"/>
      <c r="O27" s="5">
        <f t="shared" si="4"/>
        <v>0</v>
      </c>
      <c r="P27" s="6" t="str">
        <f t="shared" si="5"/>
        <v/>
      </c>
      <c r="Q27" s="59"/>
      <c r="R27" s="59"/>
      <c r="S27" s="60"/>
      <c r="T27" s="62">
        <f t="shared" si="6"/>
        <v>0</v>
      </c>
      <c r="U27" s="63" t="str">
        <f t="shared" si="7"/>
        <v/>
      </c>
      <c r="V27" s="59"/>
      <c r="W27" s="59"/>
      <c r="X27" s="60"/>
      <c r="Y27" s="62">
        <f t="shared" si="8"/>
        <v>0</v>
      </c>
      <c r="Z27" s="63" t="str">
        <f t="shared" si="9"/>
        <v/>
      </c>
      <c r="AA27" s="5">
        <f t="shared" si="10"/>
        <v>0</v>
      </c>
      <c r="AB27" s="5">
        <f t="shared" si="11"/>
        <v>0</v>
      </c>
      <c r="AC27" s="33">
        <f t="shared" si="12"/>
        <v>0</v>
      </c>
      <c r="AD27" s="5">
        <f t="shared" si="13"/>
        <v>0</v>
      </c>
      <c r="AE27" s="6" t="str">
        <f t="shared" si="14"/>
        <v/>
      </c>
      <c r="AF27" s="46">
        <f t="shared" si="15"/>
        <v>0</v>
      </c>
    </row>
    <row r="28" spans="1:32" x14ac:dyDescent="0.25">
      <c r="A28" s="3" t="s">
        <v>31</v>
      </c>
      <c r="B28" s="4"/>
      <c r="C28" s="4"/>
      <c r="D28" s="34"/>
      <c r="E28" s="5">
        <f t="shared" si="0"/>
        <v>0</v>
      </c>
      <c r="F28" s="6" t="str">
        <f t="shared" si="1"/>
        <v/>
      </c>
      <c r="G28" s="5">
        <f>22500</f>
        <v>22500</v>
      </c>
      <c r="H28" s="5">
        <f>30000</f>
        <v>30000</v>
      </c>
      <c r="I28" s="37">
        <v>32500</v>
      </c>
      <c r="J28" s="5">
        <f t="shared" si="2"/>
        <v>-7500</v>
      </c>
      <c r="K28" s="6">
        <f t="shared" si="3"/>
        <v>0.75</v>
      </c>
      <c r="L28" s="4"/>
      <c r="M28" s="4"/>
      <c r="N28" s="34"/>
      <c r="O28" s="5">
        <f t="shared" si="4"/>
        <v>0</v>
      </c>
      <c r="P28" s="6" t="str">
        <f t="shared" si="5"/>
        <v/>
      </c>
      <c r="Q28" s="59"/>
      <c r="R28" s="59"/>
      <c r="S28" s="61"/>
      <c r="T28" s="62">
        <f t="shared" si="6"/>
        <v>0</v>
      </c>
      <c r="U28" s="63" t="str">
        <f t="shared" si="7"/>
        <v/>
      </c>
      <c r="V28" s="59"/>
      <c r="W28" s="59"/>
      <c r="X28" s="61"/>
      <c r="Y28" s="62">
        <f t="shared" si="8"/>
        <v>0</v>
      </c>
      <c r="Z28" s="63" t="str">
        <f t="shared" si="9"/>
        <v/>
      </c>
      <c r="AA28" s="5">
        <f t="shared" si="10"/>
        <v>22500</v>
      </c>
      <c r="AB28" s="5">
        <f t="shared" si="11"/>
        <v>30000</v>
      </c>
      <c r="AC28" s="34">
        <f t="shared" si="12"/>
        <v>32500</v>
      </c>
      <c r="AD28" s="5">
        <f t="shared" si="13"/>
        <v>-7500</v>
      </c>
      <c r="AE28" s="6">
        <f t="shared" si="14"/>
        <v>0.75</v>
      </c>
      <c r="AF28" s="47">
        <f t="shared" si="15"/>
        <v>2500</v>
      </c>
    </row>
    <row r="29" spans="1:32" x14ac:dyDescent="0.25">
      <c r="A29" s="3" t="s">
        <v>32</v>
      </c>
      <c r="B29" s="4"/>
      <c r="C29" s="4"/>
      <c r="D29" s="34"/>
      <c r="E29" s="5">
        <f t="shared" si="0"/>
        <v>0</v>
      </c>
      <c r="F29" s="6" t="str">
        <f t="shared" si="1"/>
        <v/>
      </c>
      <c r="G29" s="5">
        <f>77219.62</f>
        <v>77219.62</v>
      </c>
      <c r="H29" s="5">
        <f>55000</f>
        <v>55000</v>
      </c>
      <c r="I29" s="37">
        <v>75000</v>
      </c>
      <c r="J29" s="5">
        <f t="shared" si="2"/>
        <v>22219.619999999995</v>
      </c>
      <c r="K29" s="6">
        <f t="shared" si="3"/>
        <v>1.4039930909090907</v>
      </c>
      <c r="L29" s="4"/>
      <c r="M29" s="4"/>
      <c r="N29" s="34"/>
      <c r="O29" s="5">
        <f t="shared" si="4"/>
        <v>0</v>
      </c>
      <c r="P29" s="6" t="str">
        <f t="shared" si="5"/>
        <v/>
      </c>
      <c r="Q29" s="59"/>
      <c r="R29" s="59"/>
      <c r="S29" s="61"/>
      <c r="T29" s="62">
        <f t="shared" si="6"/>
        <v>0</v>
      </c>
      <c r="U29" s="63" t="str">
        <f t="shared" si="7"/>
        <v/>
      </c>
      <c r="V29" s="59"/>
      <c r="W29" s="59"/>
      <c r="X29" s="61"/>
      <c r="Y29" s="62">
        <f t="shared" si="8"/>
        <v>0</v>
      </c>
      <c r="Z29" s="63" t="str">
        <f t="shared" si="9"/>
        <v/>
      </c>
      <c r="AA29" s="5">
        <f t="shared" si="10"/>
        <v>77219.62</v>
      </c>
      <c r="AB29" s="5">
        <f t="shared" si="11"/>
        <v>55000</v>
      </c>
      <c r="AC29" s="34">
        <f t="shared" si="12"/>
        <v>75000</v>
      </c>
      <c r="AD29" s="5">
        <f t="shared" si="13"/>
        <v>22219.619999999995</v>
      </c>
      <c r="AE29" s="6">
        <f t="shared" si="14"/>
        <v>1.4039930909090907</v>
      </c>
      <c r="AF29" s="47">
        <f t="shared" si="15"/>
        <v>20000</v>
      </c>
    </row>
    <row r="30" spans="1:32" ht="15.75" thickBot="1" x14ac:dyDescent="0.3">
      <c r="A30" s="14" t="s">
        <v>33</v>
      </c>
      <c r="B30" s="4"/>
      <c r="C30" s="4"/>
      <c r="D30" s="35"/>
      <c r="E30" s="5">
        <f t="shared" si="0"/>
        <v>0</v>
      </c>
      <c r="F30" s="6" t="str">
        <f t="shared" si="1"/>
        <v/>
      </c>
      <c r="G30" s="4"/>
      <c r="H30" s="4"/>
      <c r="I30" s="35"/>
      <c r="J30" s="5">
        <f t="shared" si="2"/>
        <v>0</v>
      </c>
      <c r="K30" s="6" t="str">
        <f t="shared" si="3"/>
        <v/>
      </c>
      <c r="L30" s="4"/>
      <c r="M30" s="5">
        <f>0</f>
        <v>0</v>
      </c>
      <c r="N30" s="39"/>
      <c r="O30" s="5">
        <f t="shared" si="4"/>
        <v>0</v>
      </c>
      <c r="P30" s="6" t="str">
        <f t="shared" si="5"/>
        <v/>
      </c>
      <c r="Q30" s="59"/>
      <c r="R30" s="59"/>
      <c r="S30" s="64"/>
      <c r="T30" s="62">
        <f t="shared" si="6"/>
        <v>0</v>
      </c>
      <c r="U30" s="63" t="str">
        <f t="shared" si="7"/>
        <v/>
      </c>
      <c r="V30" s="59"/>
      <c r="W30" s="59"/>
      <c r="X30" s="64"/>
      <c r="Y30" s="62">
        <f t="shared" si="8"/>
        <v>0</v>
      </c>
      <c r="Z30" s="63" t="str">
        <f t="shared" si="9"/>
        <v/>
      </c>
      <c r="AA30" s="5">
        <f t="shared" si="10"/>
        <v>0</v>
      </c>
      <c r="AB30" s="5">
        <f t="shared" si="11"/>
        <v>0</v>
      </c>
      <c r="AC30" s="35">
        <f t="shared" si="12"/>
        <v>0</v>
      </c>
      <c r="AD30" s="5">
        <f t="shared" si="13"/>
        <v>0</v>
      </c>
      <c r="AE30" s="6" t="str">
        <f t="shared" si="14"/>
        <v/>
      </c>
      <c r="AF30" s="48">
        <f t="shared" si="15"/>
        <v>0</v>
      </c>
    </row>
    <row r="31" spans="1:32" ht="16.5" thickTop="1" thickBot="1" x14ac:dyDescent="0.3">
      <c r="A31" s="3" t="s">
        <v>34</v>
      </c>
      <c r="B31" s="19">
        <f>(((B27)+(B28))+(B29))+(B30)</f>
        <v>0</v>
      </c>
      <c r="C31" s="20">
        <f>(((C27)+(C28))+(C29))+(C30)</f>
        <v>0</v>
      </c>
      <c r="D31" s="38">
        <f>(((D27)+(D28))+(D29))+(D30)</f>
        <v>0</v>
      </c>
      <c r="E31" s="20">
        <f t="shared" si="0"/>
        <v>0</v>
      </c>
      <c r="F31" s="21" t="str">
        <f t="shared" si="1"/>
        <v/>
      </c>
      <c r="G31" s="20">
        <f>(((G27)+(G28))+(G29))+(G30)</f>
        <v>99719.62</v>
      </c>
      <c r="H31" s="20">
        <f>(((H27)+(H28))+(H29))+(H30)</f>
        <v>85000</v>
      </c>
      <c r="I31" s="38">
        <f>(((I27)+(I28))+(I29))+(I30)</f>
        <v>107500</v>
      </c>
      <c r="J31" s="20">
        <f t="shared" si="2"/>
        <v>14719.619999999995</v>
      </c>
      <c r="K31" s="21">
        <f t="shared" si="3"/>
        <v>1.1731719999999999</v>
      </c>
      <c r="L31" s="20">
        <f>(((L27)+(L28))+(L29))+(L30)</f>
        <v>0</v>
      </c>
      <c r="M31" s="20">
        <f>(((M27)+(M28))+(M29))+(M30)</f>
        <v>0</v>
      </c>
      <c r="N31" s="38">
        <f>(((N27)+(N28))+(N29))+(N30)</f>
        <v>0</v>
      </c>
      <c r="O31" s="20">
        <f t="shared" si="4"/>
        <v>0</v>
      </c>
      <c r="P31" s="21" t="str">
        <f t="shared" si="5"/>
        <v/>
      </c>
      <c r="Q31" s="67">
        <f>(((Q27)+(Q28))+(Q29))+(Q30)</f>
        <v>0</v>
      </c>
      <c r="R31" s="67">
        <f>(((R27)+(R28))+(R29))+(R30)</f>
        <v>0</v>
      </c>
      <c r="S31" s="67">
        <f>(((S27)+(S28))+(S29))+(S30)</f>
        <v>0</v>
      </c>
      <c r="T31" s="67">
        <f t="shared" si="6"/>
        <v>0</v>
      </c>
      <c r="U31" s="68" t="str">
        <f t="shared" si="7"/>
        <v/>
      </c>
      <c r="V31" s="67">
        <f>(((V27)+(V28))+(V29))+(V30)</f>
        <v>0</v>
      </c>
      <c r="W31" s="67">
        <f>(((W27)+(W28))+(W29))+(W30)</f>
        <v>0</v>
      </c>
      <c r="X31" s="67">
        <f>(((X27)+(X28))+(X29))+(X30)</f>
        <v>0</v>
      </c>
      <c r="Y31" s="67">
        <f t="shared" si="8"/>
        <v>0</v>
      </c>
      <c r="Z31" s="68" t="str">
        <f t="shared" si="9"/>
        <v/>
      </c>
      <c r="AA31" s="20">
        <f t="shared" si="10"/>
        <v>99719.62</v>
      </c>
      <c r="AB31" s="20">
        <f t="shared" si="11"/>
        <v>85000</v>
      </c>
      <c r="AC31" s="38">
        <f>((((D31)+(I31))+(N31))+(S31))+(X31)</f>
        <v>107500</v>
      </c>
      <c r="AD31" s="20">
        <f t="shared" si="13"/>
        <v>14719.619999999995</v>
      </c>
      <c r="AE31" s="21">
        <f t="shared" si="14"/>
        <v>1.1731719999999999</v>
      </c>
      <c r="AF31" s="50">
        <f t="shared" si="15"/>
        <v>22500</v>
      </c>
    </row>
    <row r="32" spans="1:32" ht="15.75" thickTop="1" x14ac:dyDescent="0.25">
      <c r="A32" s="3" t="s">
        <v>35</v>
      </c>
      <c r="B32" s="4"/>
      <c r="C32" s="4"/>
      <c r="D32" s="33">
        <v>21000</v>
      </c>
      <c r="E32" s="5">
        <f t="shared" si="0"/>
        <v>0</v>
      </c>
      <c r="F32" s="6" t="str">
        <f t="shared" si="1"/>
        <v/>
      </c>
      <c r="G32" s="4"/>
      <c r="H32" s="4"/>
      <c r="I32" s="33"/>
      <c r="J32" s="5">
        <f t="shared" si="2"/>
        <v>0</v>
      </c>
      <c r="K32" s="6" t="str">
        <f t="shared" si="3"/>
        <v/>
      </c>
      <c r="L32" s="4"/>
      <c r="M32" s="5">
        <f>0</f>
        <v>0</v>
      </c>
      <c r="N32" s="41"/>
      <c r="O32" s="5">
        <f t="shared" si="4"/>
        <v>0</v>
      </c>
      <c r="P32" s="6" t="str">
        <f t="shared" si="5"/>
        <v/>
      </c>
      <c r="Q32" s="62">
        <f>20310</f>
        <v>20310</v>
      </c>
      <c r="R32" s="62">
        <f>20000</f>
        <v>20000</v>
      </c>
      <c r="S32" s="71">
        <v>21000</v>
      </c>
      <c r="T32" s="62">
        <f t="shared" si="6"/>
        <v>310</v>
      </c>
      <c r="U32" s="63">
        <f t="shared" si="7"/>
        <v>1.0155000000000001</v>
      </c>
      <c r="V32" s="59"/>
      <c r="W32" s="59"/>
      <c r="X32" s="60"/>
      <c r="Y32" s="62">
        <f t="shared" si="8"/>
        <v>0</v>
      </c>
      <c r="Z32" s="63" t="str">
        <f t="shared" si="9"/>
        <v/>
      </c>
      <c r="AA32" s="5">
        <f t="shared" si="10"/>
        <v>20310</v>
      </c>
      <c r="AB32" s="5">
        <f t="shared" si="11"/>
        <v>20000</v>
      </c>
      <c r="AC32" s="33">
        <f t="shared" si="12"/>
        <v>42000</v>
      </c>
      <c r="AD32" s="5">
        <f t="shared" si="13"/>
        <v>310</v>
      </c>
      <c r="AE32" s="6">
        <f t="shared" si="14"/>
        <v>1.0155000000000001</v>
      </c>
      <c r="AF32" s="46">
        <f t="shared" si="15"/>
        <v>22000</v>
      </c>
    </row>
    <row r="33" spans="1:32" x14ac:dyDescent="0.25">
      <c r="A33" s="3" t="s">
        <v>36</v>
      </c>
      <c r="B33" s="5">
        <f>-145</f>
        <v>-145</v>
      </c>
      <c r="C33" s="4"/>
      <c r="D33" s="34"/>
      <c r="E33" s="5">
        <f t="shared" si="0"/>
        <v>-145</v>
      </c>
      <c r="F33" s="6" t="str">
        <f t="shared" si="1"/>
        <v/>
      </c>
      <c r="G33" s="4"/>
      <c r="H33" s="4"/>
      <c r="I33" s="34"/>
      <c r="J33" s="5">
        <f t="shared" si="2"/>
        <v>0</v>
      </c>
      <c r="K33" s="6" t="str">
        <f t="shared" si="3"/>
        <v/>
      </c>
      <c r="L33" s="5">
        <f>145</f>
        <v>145</v>
      </c>
      <c r="M33" s="4"/>
      <c r="N33" s="34"/>
      <c r="O33" s="5">
        <f t="shared" si="4"/>
        <v>145</v>
      </c>
      <c r="P33" s="6" t="str">
        <f t="shared" si="5"/>
        <v/>
      </c>
      <c r="Q33" s="62">
        <f>-1258</f>
        <v>-1258</v>
      </c>
      <c r="R33" s="59"/>
      <c r="S33" s="61"/>
      <c r="T33" s="62">
        <f t="shared" si="6"/>
        <v>-1258</v>
      </c>
      <c r="U33" s="63" t="str">
        <f t="shared" si="7"/>
        <v/>
      </c>
      <c r="V33" s="59"/>
      <c r="W33" s="59"/>
      <c r="X33" s="61"/>
      <c r="Y33" s="62">
        <f t="shared" si="8"/>
        <v>0</v>
      </c>
      <c r="Z33" s="63" t="str">
        <f t="shared" si="9"/>
        <v/>
      </c>
      <c r="AA33" s="5">
        <f t="shared" si="10"/>
        <v>-1258</v>
      </c>
      <c r="AB33" s="5">
        <f t="shared" si="11"/>
        <v>0</v>
      </c>
      <c r="AC33" s="34">
        <f t="shared" si="12"/>
        <v>0</v>
      </c>
      <c r="AD33" s="5">
        <f t="shared" si="13"/>
        <v>-1258</v>
      </c>
      <c r="AE33" s="6" t="str">
        <f t="shared" si="14"/>
        <v/>
      </c>
      <c r="AF33" s="47">
        <f t="shared" si="15"/>
        <v>0</v>
      </c>
    </row>
    <row r="34" spans="1:32" x14ac:dyDescent="0.25">
      <c r="A34" s="3" t="s">
        <v>37</v>
      </c>
      <c r="B34" s="4"/>
      <c r="C34" s="5">
        <f>1000</f>
        <v>1000</v>
      </c>
      <c r="D34" s="37">
        <v>1000</v>
      </c>
      <c r="E34" s="5">
        <f t="shared" si="0"/>
        <v>-1000</v>
      </c>
      <c r="F34" s="6">
        <f t="shared" si="1"/>
        <v>0</v>
      </c>
      <c r="G34" s="4"/>
      <c r="H34" s="4"/>
      <c r="I34" s="34"/>
      <c r="J34" s="5">
        <f t="shared" si="2"/>
        <v>0</v>
      </c>
      <c r="K34" s="6" t="str">
        <f t="shared" si="3"/>
        <v/>
      </c>
      <c r="L34" s="4"/>
      <c r="M34" s="5">
        <f>1500</f>
        <v>1500</v>
      </c>
      <c r="N34" s="37">
        <v>1500</v>
      </c>
      <c r="O34" s="5">
        <f t="shared" si="4"/>
        <v>-1500</v>
      </c>
      <c r="P34" s="6">
        <f t="shared" si="5"/>
        <v>0</v>
      </c>
      <c r="Q34" s="59"/>
      <c r="R34" s="59"/>
      <c r="S34" s="61"/>
      <c r="T34" s="62">
        <f t="shared" si="6"/>
        <v>0</v>
      </c>
      <c r="U34" s="63" t="str">
        <f t="shared" si="7"/>
        <v/>
      </c>
      <c r="V34" s="59"/>
      <c r="W34" s="59"/>
      <c r="X34" s="61"/>
      <c r="Y34" s="62">
        <f t="shared" si="8"/>
        <v>0</v>
      </c>
      <c r="Z34" s="63" t="str">
        <f t="shared" si="9"/>
        <v/>
      </c>
      <c r="AA34" s="5">
        <f t="shared" si="10"/>
        <v>0</v>
      </c>
      <c r="AB34" s="5">
        <f t="shared" si="11"/>
        <v>2500</v>
      </c>
      <c r="AC34" s="34">
        <f t="shared" si="12"/>
        <v>2500</v>
      </c>
      <c r="AD34" s="5">
        <f t="shared" si="13"/>
        <v>-2500</v>
      </c>
      <c r="AE34" s="6">
        <f t="shared" si="14"/>
        <v>0</v>
      </c>
      <c r="AF34" s="47">
        <f t="shared" si="15"/>
        <v>0</v>
      </c>
    </row>
    <row r="35" spans="1:32" ht="15.75" thickBot="1" x14ac:dyDescent="0.3">
      <c r="A35" s="14" t="s">
        <v>38</v>
      </c>
      <c r="B35" s="4"/>
      <c r="C35" s="5">
        <f>1000</f>
        <v>1000</v>
      </c>
      <c r="D35" s="39">
        <v>2000</v>
      </c>
      <c r="E35" s="5">
        <f t="shared" si="0"/>
        <v>-1000</v>
      </c>
      <c r="F35" s="6">
        <f t="shared" si="1"/>
        <v>0</v>
      </c>
      <c r="G35" s="4"/>
      <c r="H35" s="4"/>
      <c r="I35" s="35"/>
      <c r="J35" s="5">
        <f t="shared" si="2"/>
        <v>0</v>
      </c>
      <c r="K35" s="6" t="str">
        <f t="shared" si="3"/>
        <v/>
      </c>
      <c r="L35" s="4"/>
      <c r="M35" s="5">
        <f>1500</f>
        <v>1500</v>
      </c>
      <c r="N35" s="39">
        <v>1500</v>
      </c>
      <c r="O35" s="5">
        <f t="shared" si="4"/>
        <v>-1500</v>
      </c>
      <c r="P35" s="6">
        <f t="shared" si="5"/>
        <v>0</v>
      </c>
      <c r="Q35" s="59"/>
      <c r="R35" s="62">
        <f>1000</f>
        <v>1000</v>
      </c>
      <c r="S35" s="70">
        <v>1000</v>
      </c>
      <c r="T35" s="62">
        <f t="shared" si="6"/>
        <v>-1000</v>
      </c>
      <c r="U35" s="63">
        <f t="shared" si="7"/>
        <v>0</v>
      </c>
      <c r="V35" s="59"/>
      <c r="W35" s="59"/>
      <c r="X35" s="64"/>
      <c r="Y35" s="62">
        <f t="shared" si="8"/>
        <v>0</v>
      </c>
      <c r="Z35" s="63" t="str">
        <f t="shared" si="9"/>
        <v/>
      </c>
      <c r="AA35" s="5">
        <f t="shared" si="10"/>
        <v>0</v>
      </c>
      <c r="AB35" s="5">
        <f t="shared" si="11"/>
        <v>3500</v>
      </c>
      <c r="AC35" s="35">
        <f t="shared" si="12"/>
        <v>4500</v>
      </c>
      <c r="AD35" s="5">
        <f t="shared" si="13"/>
        <v>-3500</v>
      </c>
      <c r="AE35" s="6">
        <f t="shared" si="14"/>
        <v>0</v>
      </c>
      <c r="AF35" s="48">
        <f t="shared" si="15"/>
        <v>1000</v>
      </c>
    </row>
    <row r="36" spans="1:32" ht="16.5" thickTop="1" thickBot="1" x14ac:dyDescent="0.3">
      <c r="A36" s="3" t="s">
        <v>39</v>
      </c>
      <c r="B36" s="19">
        <f>((B33)+(B34))+(B35)</f>
        <v>-145</v>
      </c>
      <c r="C36" s="20">
        <f>((C33)+(C34))+(C35)</f>
        <v>2000</v>
      </c>
      <c r="D36" s="38">
        <f>((D33)+(D34))+(D35)</f>
        <v>3000</v>
      </c>
      <c r="E36" s="20">
        <f t="shared" si="0"/>
        <v>-2145</v>
      </c>
      <c r="F36" s="21">
        <f t="shared" si="1"/>
        <v>-7.2499999999999995E-2</v>
      </c>
      <c r="G36" s="20">
        <f>((G33)+(G34))+(G35)</f>
        <v>0</v>
      </c>
      <c r="H36" s="20">
        <f>((H33)+(H34))+(H35)</f>
        <v>0</v>
      </c>
      <c r="I36" s="38">
        <f>((I33)+(I34))+(I35)</f>
        <v>0</v>
      </c>
      <c r="J36" s="20">
        <f t="shared" si="2"/>
        <v>0</v>
      </c>
      <c r="K36" s="21" t="str">
        <f t="shared" si="3"/>
        <v/>
      </c>
      <c r="L36" s="20">
        <f>((L33)+(L34))+(L35)</f>
        <v>145</v>
      </c>
      <c r="M36" s="20">
        <f>((M33)+(M34))+(M35)</f>
        <v>3000</v>
      </c>
      <c r="N36" s="38">
        <f>((N33)+(N34))+(N35)</f>
        <v>3000</v>
      </c>
      <c r="O36" s="20">
        <f t="shared" si="4"/>
        <v>-2855</v>
      </c>
      <c r="P36" s="21">
        <f t="shared" si="5"/>
        <v>4.8333333333333332E-2</v>
      </c>
      <c r="Q36" s="67">
        <f>((Q33)+(Q34))+(Q35)</f>
        <v>-1258</v>
      </c>
      <c r="R36" s="67">
        <f>((R33)+(R34))+(R35)</f>
        <v>1000</v>
      </c>
      <c r="S36" s="67">
        <f>((S33)+(S34))+(S35)</f>
        <v>1000</v>
      </c>
      <c r="T36" s="67">
        <f t="shared" si="6"/>
        <v>-2258</v>
      </c>
      <c r="U36" s="68">
        <f t="shared" si="7"/>
        <v>-1.258</v>
      </c>
      <c r="V36" s="67">
        <f>((V33)+(V34))+(V35)</f>
        <v>0</v>
      </c>
      <c r="W36" s="67">
        <f>((W33)+(W34))+(W35)</f>
        <v>0</v>
      </c>
      <c r="X36" s="67">
        <f t="shared" ref="X36:Z36" si="16">((X33)+(X34))+(X35)</f>
        <v>0</v>
      </c>
      <c r="Y36" s="67">
        <f t="shared" si="16"/>
        <v>0</v>
      </c>
      <c r="Z36" s="67" t="e">
        <f t="shared" si="16"/>
        <v>#VALUE!</v>
      </c>
      <c r="AA36" s="20">
        <f t="shared" si="10"/>
        <v>-1258</v>
      </c>
      <c r="AB36" s="20">
        <f t="shared" si="11"/>
        <v>6000</v>
      </c>
      <c r="AC36" s="38">
        <f>((((D36)+(I36))+(N36))+(S36))+(X36)</f>
        <v>7000</v>
      </c>
      <c r="AD36" s="20">
        <f t="shared" si="13"/>
        <v>-7258</v>
      </c>
      <c r="AE36" s="21">
        <f t="shared" si="14"/>
        <v>-0.20966666666666667</v>
      </c>
      <c r="AF36" s="50">
        <f t="shared" si="15"/>
        <v>1000</v>
      </c>
    </row>
    <row r="37" spans="1:32" ht="15.75" thickTop="1" x14ac:dyDescent="0.25">
      <c r="A37" s="3" t="s">
        <v>40</v>
      </c>
      <c r="B37" s="4"/>
      <c r="C37" s="4"/>
      <c r="D37" s="33">
        <v>1000</v>
      </c>
      <c r="E37" s="5">
        <f t="shared" si="0"/>
        <v>0</v>
      </c>
      <c r="F37" s="6" t="str">
        <f t="shared" si="1"/>
        <v/>
      </c>
      <c r="G37" s="4"/>
      <c r="H37" s="4"/>
      <c r="I37" s="33"/>
      <c r="J37" s="5">
        <f t="shared" si="2"/>
        <v>0</v>
      </c>
      <c r="K37" s="6" t="str">
        <f t="shared" si="3"/>
        <v/>
      </c>
      <c r="L37" s="5">
        <f>5220.93</f>
        <v>5220.93</v>
      </c>
      <c r="M37" s="5">
        <f>15500</f>
        <v>15500</v>
      </c>
      <c r="N37" s="41">
        <v>5000</v>
      </c>
      <c r="O37" s="5">
        <f t="shared" si="4"/>
        <v>-10279.07</v>
      </c>
      <c r="P37" s="6">
        <f t="shared" si="5"/>
        <v>0.33683419354838712</v>
      </c>
      <c r="Q37" s="59"/>
      <c r="R37" s="59"/>
      <c r="S37" s="60"/>
      <c r="T37" s="62">
        <f t="shared" si="6"/>
        <v>0</v>
      </c>
      <c r="U37" s="63" t="str">
        <f t="shared" si="7"/>
        <v/>
      </c>
      <c r="V37" s="62">
        <f>1053.39</f>
        <v>1053.3900000000001</v>
      </c>
      <c r="W37" s="59"/>
      <c r="X37" s="60"/>
      <c r="Y37" s="62">
        <f t="shared" ref="Y37:Y48" si="17">(V37)-(W37)</f>
        <v>1053.3900000000001</v>
      </c>
      <c r="Z37" s="63" t="str">
        <f t="shared" ref="Z37:Z48" si="18">IF(W37=0,"",(V37)/(W37))</f>
        <v/>
      </c>
      <c r="AA37" s="5">
        <f t="shared" si="10"/>
        <v>6274.3200000000006</v>
      </c>
      <c r="AB37" s="5">
        <f t="shared" si="11"/>
        <v>15500</v>
      </c>
      <c r="AC37" s="33">
        <f t="shared" si="12"/>
        <v>6000</v>
      </c>
      <c r="AD37" s="5">
        <f t="shared" si="13"/>
        <v>-9225.68</v>
      </c>
      <c r="AE37" s="6">
        <f t="shared" si="14"/>
        <v>0.40479483870967747</v>
      </c>
      <c r="AF37" s="46">
        <f t="shared" si="15"/>
        <v>-9500</v>
      </c>
    </row>
    <row r="38" spans="1:32" x14ac:dyDescent="0.25">
      <c r="A38" s="3" t="s">
        <v>41</v>
      </c>
      <c r="B38" s="4"/>
      <c r="C38" s="4"/>
      <c r="D38" s="34"/>
      <c r="E38" s="5">
        <f t="shared" si="0"/>
        <v>0</v>
      </c>
      <c r="F38" s="6" t="str">
        <f t="shared" si="1"/>
        <v/>
      </c>
      <c r="G38" s="4"/>
      <c r="H38" s="4"/>
      <c r="I38" s="34"/>
      <c r="J38" s="5">
        <f t="shared" si="2"/>
        <v>0</v>
      </c>
      <c r="K38" s="6" t="str">
        <f t="shared" si="3"/>
        <v/>
      </c>
      <c r="L38" s="5">
        <f>10161.88</f>
        <v>10161.879999999999</v>
      </c>
      <c r="M38" s="5">
        <f>5000</f>
        <v>5000</v>
      </c>
      <c r="N38" s="37">
        <v>10000</v>
      </c>
      <c r="O38" s="5">
        <f t="shared" si="4"/>
        <v>5161.8799999999992</v>
      </c>
      <c r="P38" s="6">
        <f t="shared" si="5"/>
        <v>2.0323759999999997</v>
      </c>
      <c r="Q38" s="62">
        <f>629.63</f>
        <v>629.63</v>
      </c>
      <c r="R38" s="59"/>
      <c r="S38" s="61"/>
      <c r="T38" s="62">
        <f t="shared" si="6"/>
        <v>629.63</v>
      </c>
      <c r="U38" s="63" t="str">
        <f t="shared" si="7"/>
        <v/>
      </c>
      <c r="V38" s="59"/>
      <c r="W38" s="59"/>
      <c r="X38" s="61"/>
      <c r="Y38" s="62">
        <f t="shared" si="17"/>
        <v>0</v>
      </c>
      <c r="Z38" s="63" t="str">
        <f t="shared" si="18"/>
        <v/>
      </c>
      <c r="AA38" s="5">
        <f t="shared" si="10"/>
        <v>10791.509999999998</v>
      </c>
      <c r="AB38" s="5">
        <f t="shared" si="11"/>
        <v>5000</v>
      </c>
      <c r="AC38" s="34">
        <f t="shared" si="12"/>
        <v>10000</v>
      </c>
      <c r="AD38" s="5">
        <f t="shared" si="13"/>
        <v>5791.5099999999984</v>
      </c>
      <c r="AE38" s="6">
        <f t="shared" si="14"/>
        <v>2.1583019999999995</v>
      </c>
      <c r="AF38" s="47">
        <f t="shared" si="15"/>
        <v>5000</v>
      </c>
    </row>
    <row r="39" spans="1:32" ht="15.75" thickBot="1" x14ac:dyDescent="0.3">
      <c r="A39" s="14" t="s">
        <v>42</v>
      </c>
      <c r="B39" s="4"/>
      <c r="C39" s="4"/>
      <c r="D39" s="35"/>
      <c r="E39" s="5">
        <f t="shared" si="0"/>
        <v>0</v>
      </c>
      <c r="F39" s="6" t="str">
        <f t="shared" si="1"/>
        <v/>
      </c>
      <c r="G39" s="4"/>
      <c r="H39" s="4"/>
      <c r="I39" s="35"/>
      <c r="J39" s="5">
        <f t="shared" si="2"/>
        <v>0</v>
      </c>
      <c r="K39" s="6" t="str">
        <f t="shared" si="3"/>
        <v/>
      </c>
      <c r="L39" s="4"/>
      <c r="M39" s="5">
        <f>0</f>
        <v>0</v>
      </c>
      <c r="N39" s="39"/>
      <c r="O39" s="5">
        <f t="shared" si="4"/>
        <v>0</v>
      </c>
      <c r="P39" s="6" t="str">
        <f t="shared" si="5"/>
        <v/>
      </c>
      <c r="Q39" s="59"/>
      <c r="R39" s="59"/>
      <c r="S39" s="64"/>
      <c r="T39" s="62">
        <f t="shared" si="6"/>
        <v>0</v>
      </c>
      <c r="U39" s="63" t="str">
        <f t="shared" si="7"/>
        <v/>
      </c>
      <c r="V39" s="59"/>
      <c r="W39" s="59"/>
      <c r="X39" s="64"/>
      <c r="Y39" s="62">
        <f t="shared" si="17"/>
        <v>0</v>
      </c>
      <c r="Z39" s="63" t="str">
        <f t="shared" si="18"/>
        <v/>
      </c>
      <c r="AA39" s="5">
        <f t="shared" si="10"/>
        <v>0</v>
      </c>
      <c r="AB39" s="5">
        <f t="shared" si="11"/>
        <v>0</v>
      </c>
      <c r="AC39" s="35">
        <f t="shared" si="12"/>
        <v>0</v>
      </c>
      <c r="AD39" s="5">
        <f t="shared" si="13"/>
        <v>0</v>
      </c>
      <c r="AE39" s="6" t="str">
        <f t="shared" si="14"/>
        <v/>
      </c>
      <c r="AF39" s="48">
        <f t="shared" si="15"/>
        <v>0</v>
      </c>
    </row>
    <row r="40" spans="1:32" ht="16.5" thickTop="1" thickBot="1" x14ac:dyDescent="0.3">
      <c r="A40" s="3" t="s">
        <v>43</v>
      </c>
      <c r="B40" s="19">
        <f>(B38)+(B39)</f>
        <v>0</v>
      </c>
      <c r="C40" s="20">
        <f>(C38)+(C39)</f>
        <v>0</v>
      </c>
      <c r="D40" s="38">
        <f>(D38)+(D39)</f>
        <v>0</v>
      </c>
      <c r="E40" s="20">
        <f t="shared" si="0"/>
        <v>0</v>
      </c>
      <c r="F40" s="21" t="str">
        <f t="shared" si="1"/>
        <v/>
      </c>
      <c r="G40" s="20">
        <f>(G38)+(G39)</f>
        <v>0</v>
      </c>
      <c r="H40" s="20">
        <f>(H38)+(H39)</f>
        <v>0</v>
      </c>
      <c r="I40" s="38">
        <f>(I38)+(I39)</f>
        <v>0</v>
      </c>
      <c r="J40" s="20">
        <f t="shared" si="2"/>
        <v>0</v>
      </c>
      <c r="K40" s="21" t="str">
        <f t="shared" si="3"/>
        <v/>
      </c>
      <c r="L40" s="20">
        <f>(L38)+(L39)</f>
        <v>10161.879999999999</v>
      </c>
      <c r="M40" s="20">
        <f>(M38)+(M39)</f>
        <v>5000</v>
      </c>
      <c r="N40" s="38">
        <f>(N38)+(N39)</f>
        <v>10000</v>
      </c>
      <c r="O40" s="20">
        <f t="shared" si="4"/>
        <v>5161.8799999999992</v>
      </c>
      <c r="P40" s="21">
        <f t="shared" si="5"/>
        <v>2.0323759999999997</v>
      </c>
      <c r="Q40" s="67">
        <f>(Q38)+(Q39)</f>
        <v>629.63</v>
      </c>
      <c r="R40" s="67">
        <f>(R38)+(R39)</f>
        <v>0</v>
      </c>
      <c r="S40" s="67">
        <f>(S38)+(S39)</f>
        <v>0</v>
      </c>
      <c r="T40" s="67">
        <f t="shared" si="6"/>
        <v>629.63</v>
      </c>
      <c r="U40" s="68" t="str">
        <f t="shared" si="7"/>
        <v/>
      </c>
      <c r="V40" s="67">
        <f>(V38)+(V39)</f>
        <v>0</v>
      </c>
      <c r="W40" s="67">
        <f>(W38)+(W39)</f>
        <v>0</v>
      </c>
      <c r="X40" s="67">
        <f>(X38)+(X39)</f>
        <v>0</v>
      </c>
      <c r="Y40" s="67">
        <f t="shared" si="17"/>
        <v>0</v>
      </c>
      <c r="Z40" s="68" t="str">
        <f t="shared" si="18"/>
        <v/>
      </c>
      <c r="AA40" s="20">
        <f t="shared" si="10"/>
        <v>10791.509999999998</v>
      </c>
      <c r="AB40" s="20">
        <f t="shared" si="11"/>
        <v>5000</v>
      </c>
      <c r="AC40" s="38">
        <f>((((D40)+(I40))+(N40))+(S40))+(X40)</f>
        <v>10000</v>
      </c>
      <c r="AD40" s="20">
        <f t="shared" si="13"/>
        <v>5791.5099999999984</v>
      </c>
      <c r="AE40" s="21">
        <f t="shared" si="14"/>
        <v>2.1583019999999995</v>
      </c>
      <c r="AF40" s="50">
        <f t="shared" si="15"/>
        <v>5000</v>
      </c>
    </row>
    <row r="41" spans="1:32" ht="15.75" thickTop="1" x14ac:dyDescent="0.25">
      <c r="A41" s="3" t="s">
        <v>44</v>
      </c>
      <c r="B41" s="4"/>
      <c r="C41" s="4"/>
      <c r="D41" s="33"/>
      <c r="E41" s="5">
        <f t="shared" si="0"/>
        <v>0</v>
      </c>
      <c r="F41" s="6" t="str">
        <f t="shared" si="1"/>
        <v/>
      </c>
      <c r="G41" s="4"/>
      <c r="H41" s="4"/>
      <c r="I41" s="33"/>
      <c r="J41" s="5">
        <f t="shared" si="2"/>
        <v>0</v>
      </c>
      <c r="K41" s="6" t="str">
        <f t="shared" si="3"/>
        <v/>
      </c>
      <c r="L41" s="5">
        <f>2146.2</f>
        <v>2146.1999999999998</v>
      </c>
      <c r="M41" s="5">
        <f>5000</f>
        <v>5000</v>
      </c>
      <c r="N41" s="41">
        <v>5000</v>
      </c>
      <c r="O41" s="5">
        <f t="shared" si="4"/>
        <v>-2853.8</v>
      </c>
      <c r="P41" s="6">
        <f t="shared" si="5"/>
        <v>0.42923999999999995</v>
      </c>
      <c r="Q41" s="59"/>
      <c r="R41" s="59"/>
      <c r="S41" s="60"/>
      <c r="T41" s="62">
        <f t="shared" si="6"/>
        <v>0</v>
      </c>
      <c r="U41" s="63" t="str">
        <f t="shared" si="7"/>
        <v/>
      </c>
      <c r="V41" s="59"/>
      <c r="W41" s="59"/>
      <c r="X41" s="60"/>
      <c r="Y41" s="62">
        <f t="shared" si="17"/>
        <v>0</v>
      </c>
      <c r="Z41" s="63" t="str">
        <f t="shared" si="18"/>
        <v/>
      </c>
      <c r="AA41" s="5">
        <f t="shared" si="10"/>
        <v>2146.1999999999998</v>
      </c>
      <c r="AB41" s="5">
        <f t="shared" si="11"/>
        <v>5000</v>
      </c>
      <c r="AC41" s="33">
        <f t="shared" si="12"/>
        <v>5000</v>
      </c>
      <c r="AD41" s="5">
        <f t="shared" si="13"/>
        <v>-2853.8</v>
      </c>
      <c r="AE41" s="6">
        <f t="shared" si="14"/>
        <v>0.42923999999999995</v>
      </c>
      <c r="AF41" s="46">
        <f t="shared" si="15"/>
        <v>0</v>
      </c>
    </row>
    <row r="42" spans="1:32" ht="23.25" x14ac:dyDescent="0.25">
      <c r="A42" s="3" t="s">
        <v>45</v>
      </c>
      <c r="B42" s="4"/>
      <c r="C42" s="4"/>
      <c r="D42" s="34"/>
      <c r="E42" s="5">
        <f t="shared" si="0"/>
        <v>0</v>
      </c>
      <c r="F42" s="6" t="str">
        <f t="shared" si="1"/>
        <v/>
      </c>
      <c r="G42" s="4"/>
      <c r="H42" s="4"/>
      <c r="I42" s="34"/>
      <c r="J42" s="5">
        <f t="shared" si="2"/>
        <v>0</v>
      </c>
      <c r="K42" s="6" t="str">
        <f t="shared" si="3"/>
        <v/>
      </c>
      <c r="L42" s="5"/>
      <c r="M42" s="4"/>
      <c r="N42" s="34"/>
      <c r="O42" s="5">
        <f t="shared" si="4"/>
        <v>0</v>
      </c>
      <c r="P42" s="6" t="str">
        <f t="shared" si="5"/>
        <v/>
      </c>
      <c r="Q42" s="59"/>
      <c r="R42" s="59"/>
      <c r="S42" s="61"/>
      <c r="T42" s="62">
        <f t="shared" si="6"/>
        <v>0</v>
      </c>
      <c r="U42" s="63" t="str">
        <f t="shared" si="7"/>
        <v/>
      </c>
      <c r="V42" s="59"/>
      <c r="W42" s="59"/>
      <c r="X42" s="61"/>
      <c r="Y42" s="62">
        <f t="shared" si="17"/>
        <v>0</v>
      </c>
      <c r="Z42" s="63" t="str">
        <f t="shared" si="18"/>
        <v/>
      </c>
      <c r="AA42" s="5">
        <f t="shared" si="10"/>
        <v>0</v>
      </c>
      <c r="AB42" s="5">
        <f t="shared" si="11"/>
        <v>0</v>
      </c>
      <c r="AC42" s="34">
        <f t="shared" si="12"/>
        <v>0</v>
      </c>
      <c r="AD42" s="5">
        <f t="shared" si="13"/>
        <v>0</v>
      </c>
      <c r="AE42" s="6" t="str">
        <f t="shared" si="14"/>
        <v/>
      </c>
      <c r="AF42" s="47">
        <f t="shared" si="15"/>
        <v>0</v>
      </c>
    </row>
    <row r="43" spans="1:32" x14ac:dyDescent="0.25">
      <c r="A43" s="3" t="s">
        <v>46</v>
      </c>
      <c r="B43" s="4"/>
      <c r="C43" s="4"/>
      <c r="D43" s="34"/>
      <c r="E43" s="5">
        <f t="shared" si="0"/>
        <v>0</v>
      </c>
      <c r="F43" s="6" t="str">
        <f t="shared" si="1"/>
        <v/>
      </c>
      <c r="G43" s="4"/>
      <c r="H43" s="4"/>
      <c r="I43" s="34"/>
      <c r="J43" s="5">
        <f t="shared" si="2"/>
        <v>0</v>
      </c>
      <c r="K43" s="6" t="str">
        <f t="shared" si="3"/>
        <v/>
      </c>
      <c r="L43" s="4"/>
      <c r="M43" s="4"/>
      <c r="N43" s="34"/>
      <c r="O43" s="5">
        <f t="shared" si="4"/>
        <v>0</v>
      </c>
      <c r="P43" s="6" t="str">
        <f t="shared" si="5"/>
        <v/>
      </c>
      <c r="Q43" s="59"/>
      <c r="R43" s="59"/>
      <c r="S43" s="61"/>
      <c r="T43" s="62">
        <f t="shared" si="6"/>
        <v>0</v>
      </c>
      <c r="U43" s="63" t="str">
        <f t="shared" si="7"/>
        <v/>
      </c>
      <c r="V43" s="59"/>
      <c r="W43" s="59"/>
      <c r="X43" s="61"/>
      <c r="Y43" s="62">
        <f t="shared" si="17"/>
        <v>0</v>
      </c>
      <c r="Z43" s="63" t="str">
        <f t="shared" si="18"/>
        <v/>
      </c>
      <c r="AA43" s="5">
        <f t="shared" si="10"/>
        <v>0</v>
      </c>
      <c r="AB43" s="5">
        <f t="shared" si="11"/>
        <v>0</v>
      </c>
      <c r="AC43" s="34">
        <f t="shared" si="12"/>
        <v>0</v>
      </c>
      <c r="AD43" s="5">
        <f t="shared" si="13"/>
        <v>0</v>
      </c>
      <c r="AE43" s="6" t="str">
        <f t="shared" si="14"/>
        <v/>
      </c>
      <c r="AF43" s="47">
        <f t="shared" si="15"/>
        <v>0</v>
      </c>
    </row>
    <row r="44" spans="1:32" ht="15.75" thickBot="1" x14ac:dyDescent="0.3">
      <c r="A44" s="14" t="s">
        <v>47</v>
      </c>
      <c r="B44" s="4"/>
      <c r="C44" s="4"/>
      <c r="D44" s="35"/>
      <c r="E44" s="5">
        <f t="shared" si="0"/>
        <v>0</v>
      </c>
      <c r="F44" s="6" t="str">
        <f t="shared" si="1"/>
        <v/>
      </c>
      <c r="G44" s="4"/>
      <c r="H44" s="4"/>
      <c r="I44" s="35"/>
      <c r="J44" s="5">
        <f t="shared" si="2"/>
        <v>0</v>
      </c>
      <c r="K44" s="6" t="str">
        <f t="shared" si="3"/>
        <v/>
      </c>
      <c r="L44" s="5">
        <f>0</f>
        <v>0</v>
      </c>
      <c r="M44" s="4"/>
      <c r="N44" s="35"/>
      <c r="O44" s="5">
        <f t="shared" si="4"/>
        <v>0</v>
      </c>
      <c r="P44" s="6" t="str">
        <f t="shared" si="5"/>
        <v/>
      </c>
      <c r="Q44" s="59"/>
      <c r="R44" s="59"/>
      <c r="S44" s="64"/>
      <c r="T44" s="62">
        <f t="shared" si="6"/>
        <v>0</v>
      </c>
      <c r="U44" s="63" t="str">
        <f t="shared" si="7"/>
        <v/>
      </c>
      <c r="V44" s="59"/>
      <c r="W44" s="59"/>
      <c r="X44" s="64"/>
      <c r="Y44" s="62">
        <f t="shared" si="17"/>
        <v>0</v>
      </c>
      <c r="Z44" s="63" t="str">
        <f t="shared" si="18"/>
        <v/>
      </c>
      <c r="AA44" s="5">
        <f t="shared" si="10"/>
        <v>0</v>
      </c>
      <c r="AB44" s="5">
        <f t="shared" si="11"/>
        <v>0</v>
      </c>
      <c r="AC44" s="35">
        <f t="shared" si="12"/>
        <v>0</v>
      </c>
      <c r="AD44" s="5">
        <f t="shared" si="13"/>
        <v>0</v>
      </c>
      <c r="AE44" s="6" t="str">
        <f t="shared" si="14"/>
        <v/>
      </c>
      <c r="AF44" s="48">
        <f t="shared" si="15"/>
        <v>0</v>
      </c>
    </row>
    <row r="45" spans="1:32" ht="16.5" thickTop="1" thickBot="1" x14ac:dyDescent="0.3">
      <c r="A45" s="3" t="s">
        <v>48</v>
      </c>
      <c r="B45" s="19">
        <f>(B43)+(B44)</f>
        <v>0</v>
      </c>
      <c r="C45" s="20">
        <f>(C43)+(C44)</f>
        <v>0</v>
      </c>
      <c r="D45" s="38">
        <f>(D43)+(D44)</f>
        <v>0</v>
      </c>
      <c r="E45" s="20">
        <f t="shared" si="0"/>
        <v>0</v>
      </c>
      <c r="F45" s="21" t="str">
        <f t="shared" si="1"/>
        <v/>
      </c>
      <c r="G45" s="20">
        <f>(G43)+(G44)</f>
        <v>0</v>
      </c>
      <c r="H45" s="20">
        <f>(H43)+(H44)</f>
        <v>0</v>
      </c>
      <c r="I45" s="38">
        <f>(I43)+(I44)</f>
        <v>0</v>
      </c>
      <c r="J45" s="20">
        <f t="shared" si="2"/>
        <v>0</v>
      </c>
      <c r="K45" s="21" t="str">
        <f t="shared" si="3"/>
        <v/>
      </c>
      <c r="L45" s="20">
        <f>(L43)+(L44)</f>
        <v>0</v>
      </c>
      <c r="M45" s="20">
        <f>(M43)+(M44)</f>
        <v>0</v>
      </c>
      <c r="N45" s="38">
        <f>(N43)+(N44)</f>
        <v>0</v>
      </c>
      <c r="O45" s="20">
        <f t="shared" si="4"/>
        <v>0</v>
      </c>
      <c r="P45" s="21" t="str">
        <f t="shared" si="5"/>
        <v/>
      </c>
      <c r="Q45" s="67">
        <f>(Q43)+(Q44)</f>
        <v>0</v>
      </c>
      <c r="R45" s="67">
        <f>(R43)+(R44)</f>
        <v>0</v>
      </c>
      <c r="S45" s="67">
        <f>(S43)+(S44)</f>
        <v>0</v>
      </c>
      <c r="T45" s="67">
        <f t="shared" si="6"/>
        <v>0</v>
      </c>
      <c r="U45" s="68" t="str">
        <f t="shared" si="7"/>
        <v/>
      </c>
      <c r="V45" s="67">
        <f>(V43)+(V44)</f>
        <v>0</v>
      </c>
      <c r="W45" s="67">
        <f>(W43)+(W44)</f>
        <v>0</v>
      </c>
      <c r="X45" s="67">
        <f>(X43)+(X44)</f>
        <v>0</v>
      </c>
      <c r="Y45" s="67">
        <f t="shared" si="17"/>
        <v>0</v>
      </c>
      <c r="Z45" s="68" t="str">
        <f t="shared" si="18"/>
        <v/>
      </c>
      <c r="AA45" s="20">
        <f t="shared" si="10"/>
        <v>0</v>
      </c>
      <c r="AB45" s="20">
        <f t="shared" si="11"/>
        <v>0</v>
      </c>
      <c r="AC45" s="38">
        <f>((((D45)+(I45))+(N45))+(S45))+(X45)</f>
        <v>0</v>
      </c>
      <c r="AD45" s="20">
        <f t="shared" si="13"/>
        <v>0</v>
      </c>
      <c r="AE45" s="21" t="str">
        <f t="shared" si="14"/>
        <v/>
      </c>
      <c r="AF45" s="50">
        <f t="shared" si="15"/>
        <v>0</v>
      </c>
    </row>
    <row r="46" spans="1:32" ht="15.75" thickTop="1" x14ac:dyDescent="0.25">
      <c r="A46" s="3" t="s">
        <v>49</v>
      </c>
      <c r="B46" s="4"/>
      <c r="C46" s="4"/>
      <c r="D46" s="33"/>
      <c r="E46" s="5">
        <f t="shared" si="0"/>
        <v>0</v>
      </c>
      <c r="F46" s="6" t="str">
        <f t="shared" si="1"/>
        <v/>
      </c>
      <c r="G46" s="4"/>
      <c r="H46" s="4"/>
      <c r="I46" s="33"/>
      <c r="J46" s="5">
        <f t="shared" si="2"/>
        <v>0</v>
      </c>
      <c r="K46" s="6" t="str">
        <f t="shared" si="3"/>
        <v/>
      </c>
      <c r="L46" s="5">
        <f>0</f>
        <v>0</v>
      </c>
      <c r="M46" s="4"/>
      <c r="N46" s="33"/>
      <c r="O46" s="5">
        <f t="shared" si="4"/>
        <v>0</v>
      </c>
      <c r="P46" s="6" t="str">
        <f t="shared" si="5"/>
        <v/>
      </c>
      <c r="Q46" s="59"/>
      <c r="R46" s="59"/>
      <c r="S46" s="60"/>
      <c r="T46" s="62">
        <f t="shared" si="6"/>
        <v>0</v>
      </c>
      <c r="U46" s="63" t="str">
        <f t="shared" si="7"/>
        <v/>
      </c>
      <c r="V46" s="59"/>
      <c r="W46" s="59"/>
      <c r="X46" s="60"/>
      <c r="Y46" s="62">
        <f t="shared" si="17"/>
        <v>0</v>
      </c>
      <c r="Z46" s="63" t="str">
        <f t="shared" si="18"/>
        <v/>
      </c>
      <c r="AA46" s="5">
        <f t="shared" si="10"/>
        <v>0</v>
      </c>
      <c r="AB46" s="5">
        <f t="shared" si="11"/>
        <v>0</v>
      </c>
      <c r="AC46" s="33">
        <f t="shared" si="12"/>
        <v>0</v>
      </c>
      <c r="AD46" s="5">
        <f t="shared" si="13"/>
        <v>0</v>
      </c>
      <c r="AE46" s="6" t="str">
        <f t="shared" si="14"/>
        <v/>
      </c>
      <c r="AF46" s="46">
        <f t="shared" si="15"/>
        <v>0</v>
      </c>
    </row>
    <row r="47" spans="1:32" x14ac:dyDescent="0.25">
      <c r="A47" s="3" t="s">
        <v>50</v>
      </c>
      <c r="B47" s="4"/>
      <c r="C47" s="4"/>
      <c r="D47" s="34"/>
      <c r="E47" s="5">
        <f t="shared" si="0"/>
        <v>0</v>
      </c>
      <c r="F47" s="6" t="str">
        <f t="shared" si="1"/>
        <v/>
      </c>
      <c r="G47" s="4"/>
      <c r="H47" s="4"/>
      <c r="I47" s="34"/>
      <c r="J47" s="5">
        <f t="shared" si="2"/>
        <v>0</v>
      </c>
      <c r="K47" s="6" t="str">
        <f t="shared" si="3"/>
        <v/>
      </c>
      <c r="L47" s="5">
        <f>0</f>
        <v>0</v>
      </c>
      <c r="M47" s="4"/>
      <c r="N47" s="34"/>
      <c r="O47" s="5">
        <f t="shared" si="4"/>
        <v>0</v>
      </c>
      <c r="P47" s="6" t="str">
        <f t="shared" si="5"/>
        <v/>
      </c>
      <c r="Q47" s="59"/>
      <c r="R47" s="59"/>
      <c r="S47" s="61"/>
      <c r="T47" s="62">
        <f t="shared" si="6"/>
        <v>0</v>
      </c>
      <c r="U47" s="63" t="str">
        <f t="shared" si="7"/>
        <v/>
      </c>
      <c r="V47" s="59"/>
      <c r="W47" s="59"/>
      <c r="X47" s="61"/>
      <c r="Y47" s="62">
        <f t="shared" si="17"/>
        <v>0</v>
      </c>
      <c r="Z47" s="63" t="str">
        <f t="shared" si="18"/>
        <v/>
      </c>
      <c r="AA47" s="5">
        <f t="shared" si="10"/>
        <v>0</v>
      </c>
      <c r="AB47" s="5">
        <f t="shared" si="11"/>
        <v>0</v>
      </c>
      <c r="AC47" s="34">
        <f t="shared" si="12"/>
        <v>0</v>
      </c>
      <c r="AD47" s="5">
        <f t="shared" si="13"/>
        <v>0</v>
      </c>
      <c r="AE47" s="6" t="str">
        <f t="shared" si="14"/>
        <v/>
      </c>
      <c r="AF47" s="47">
        <f t="shared" si="15"/>
        <v>0</v>
      </c>
    </row>
    <row r="48" spans="1:32" ht="15.75" thickBot="1" x14ac:dyDescent="0.3">
      <c r="A48" s="14" t="s">
        <v>51</v>
      </c>
      <c r="B48" s="4"/>
      <c r="C48" s="4"/>
      <c r="D48" s="35"/>
      <c r="E48" s="5">
        <f t="shared" si="0"/>
        <v>0</v>
      </c>
      <c r="F48" s="6" t="str">
        <f t="shared" si="1"/>
        <v/>
      </c>
      <c r="G48" s="4"/>
      <c r="H48" s="4"/>
      <c r="I48" s="35"/>
      <c r="J48" s="5">
        <f t="shared" si="2"/>
        <v>0</v>
      </c>
      <c r="K48" s="6" t="str">
        <f t="shared" si="3"/>
        <v/>
      </c>
      <c r="L48" s="4"/>
      <c r="M48" s="4"/>
      <c r="N48" s="35"/>
      <c r="O48" s="5">
        <f t="shared" si="4"/>
        <v>0</v>
      </c>
      <c r="P48" s="6" t="str">
        <f t="shared" si="5"/>
        <v/>
      </c>
      <c r="Q48" s="62">
        <f>10.5</f>
        <v>10.5</v>
      </c>
      <c r="R48" s="59"/>
      <c r="S48" s="64"/>
      <c r="T48" s="62">
        <f t="shared" si="6"/>
        <v>10.5</v>
      </c>
      <c r="U48" s="63" t="str">
        <f t="shared" si="7"/>
        <v/>
      </c>
      <c r="V48" s="59"/>
      <c r="W48" s="59"/>
      <c r="X48" s="64"/>
      <c r="Y48" s="62">
        <f t="shared" si="17"/>
        <v>0</v>
      </c>
      <c r="Z48" s="63" t="str">
        <f t="shared" si="18"/>
        <v/>
      </c>
      <c r="AA48" s="5">
        <f t="shared" si="10"/>
        <v>10.5</v>
      </c>
      <c r="AB48" s="5">
        <f t="shared" si="11"/>
        <v>0</v>
      </c>
      <c r="AC48" s="35">
        <f t="shared" si="12"/>
        <v>0</v>
      </c>
      <c r="AD48" s="5">
        <f t="shared" si="13"/>
        <v>10.5</v>
      </c>
      <c r="AE48" s="6" t="str">
        <f t="shared" si="14"/>
        <v/>
      </c>
      <c r="AF48" s="48">
        <f t="shared" si="15"/>
        <v>0</v>
      </c>
    </row>
    <row r="49" spans="1:32" ht="16.5" thickTop="1" thickBot="1" x14ac:dyDescent="0.3">
      <c r="A49" s="14" t="s">
        <v>52</v>
      </c>
      <c r="B49" s="27">
        <f>(((((((((((((B12)+(B17))+(B26))+(B31))+(B32))+(B36))+(B37))+(B40))+(B41))+(B42))+(B45))+(B46))+(B47))+(B48)</f>
        <v>48419</v>
      </c>
      <c r="C49" s="28">
        <f>(((((((((((((C12)+(C17))+(C26))+(C31))+(C32))+(C36))+(C37))+(C40))+(C41))+(C42))+(C45))+(C46))+(C47))+(C48)</f>
        <v>41500</v>
      </c>
      <c r="D49" s="40">
        <f>(((((((((((((D12)+(D17))+(D26))+(D31))+(D32))+(D36))+(D37))+(D40))+(D41))+(D42))+(D45))+(D46))+(D47))+(D48)</f>
        <v>2786000</v>
      </c>
      <c r="E49" s="28">
        <f t="shared" si="0"/>
        <v>6919</v>
      </c>
      <c r="F49" s="29">
        <f t="shared" si="1"/>
        <v>1.1667228915662651</v>
      </c>
      <c r="G49" s="28">
        <f>(((((((((((((G12)+(G17))+(G26))+(G31))+(G32))+(G36))+(G37))+(G40))+(G41))+(G42))+(G45))+(G46))+(G47))+(G48)</f>
        <v>99719.62</v>
      </c>
      <c r="H49" s="28">
        <f>(((((((((((((H12)+(H17))+(H26))+(H31))+(H32))+(H36))+(H37))+(H40))+(H41))+(H42))+(H45))+(H46))+(H47))+(H48)</f>
        <v>85000</v>
      </c>
      <c r="I49" s="40">
        <f>(((((((((((((I12)+(I17))+(I26))+(I31))+(I32))+(I36))+(I37))+(I40))+(I41))+(I42))+(I45))+(I46))+(I47))+(I48)</f>
        <v>107500</v>
      </c>
      <c r="J49" s="28">
        <f t="shared" si="2"/>
        <v>14719.619999999995</v>
      </c>
      <c r="K49" s="29">
        <f t="shared" si="3"/>
        <v>1.1731719999999999</v>
      </c>
      <c r="L49" s="28">
        <f>(((((((((((((L12)+(L17))+(L26))+(L31))+(L32))+(L36))+(L37))+(L40))+(L41))+(L42))+(L45))+(L46))+(L47))+(L48)</f>
        <v>143762.52000000002</v>
      </c>
      <c r="M49" s="28">
        <f>(((((((((((((M12)+(M17))+(M26))+(M31))+(M32))+(M36))+(M37))+(M40))+(M41))+(M42))+(M45))+(M46))+(M47))+(M48)</f>
        <v>145700</v>
      </c>
      <c r="N49" s="40">
        <f>(((((((((((((N12)+(N17))+(N26))+(N31))+(N32))+(N36))+(N37))+(N40))+(N41))+(N42))+(N45))+(N46))+(N47))+(N48)</f>
        <v>149200</v>
      </c>
      <c r="O49" s="28">
        <f t="shared" si="4"/>
        <v>-1937.4799999999814</v>
      </c>
      <c r="P49" s="29">
        <f t="shared" si="5"/>
        <v>0.98670226492793423</v>
      </c>
      <c r="Q49" s="72">
        <f>(((((((((((((Q12)+(Q17))+(Q26))+(Q31))+(Q32))+(Q36))+(Q37))+(Q40))+(Q41))+(Q42))+(Q45))+(Q46))+(Q47))+(Q48)</f>
        <v>2450049.02</v>
      </c>
      <c r="R49" s="72">
        <f>(((((((((((((R12)+(R17))+(R26))+(R31))+(R32))+(R36))+(R37))+(R40))+(R41))+(R42))+(R45))+(R46))+(R47))+(R48)</f>
        <v>2407500</v>
      </c>
      <c r="S49" s="72">
        <f>(((((((((((((S12)+(S17))+(S26))+(S31))+(S32))+(S36))+(S37))+(S40))+(S41))+(S42))+(S45))+(S46))+(S47))+(S48)</f>
        <v>22000</v>
      </c>
      <c r="T49" s="72">
        <f t="shared" si="6"/>
        <v>42549.020000000019</v>
      </c>
      <c r="U49" s="73">
        <f t="shared" si="7"/>
        <v>1.0176735285565939</v>
      </c>
      <c r="V49" s="72">
        <f>(((((((((((((V12)+(V17))+(V26))+(V31))+(V32))+(V36))+(V37))+(V40))+(V41))+(V42))+(V45))+(V46))+(V47))+(V48)</f>
        <v>1053.3900000000001</v>
      </c>
      <c r="W49" s="72">
        <f>(((((((((((((W12)+(W17))+(W26))+(W31))+(W32))+(W36))+(W37))+(W40))+(W41))+(W42))+(W45))+(W46))+(W47))+(W48)</f>
        <v>0</v>
      </c>
      <c r="X49" s="72">
        <f t="shared" ref="X49:Z49" si="19">(((((((((((((X12)+(X17))+(X26))+(X31))+(X32))+(X36))+(X37))+(X40))+(X41))+(X42))+(X45))+(X46))+(X47))+(X48)</f>
        <v>0</v>
      </c>
      <c r="Y49" s="72">
        <f t="shared" si="19"/>
        <v>1053.3900000000001</v>
      </c>
      <c r="Z49" s="72" t="e">
        <f t="shared" si="19"/>
        <v>#VALUE!</v>
      </c>
      <c r="AA49" s="28">
        <f t="shared" si="10"/>
        <v>2743003.5500000003</v>
      </c>
      <c r="AB49" s="28">
        <f t="shared" si="11"/>
        <v>2679700</v>
      </c>
      <c r="AC49" s="40">
        <f>((((D49)+(I49))+(N49))+(S49))+(X49)</f>
        <v>3064700</v>
      </c>
      <c r="AD49" s="28">
        <f t="shared" si="13"/>
        <v>63303.550000000279</v>
      </c>
      <c r="AE49" s="29">
        <f t="shared" si="14"/>
        <v>1.023623372019256</v>
      </c>
      <c r="AF49" s="51">
        <f t="shared" si="15"/>
        <v>385000</v>
      </c>
    </row>
    <row r="50" spans="1:32" ht="16.5" thickTop="1" thickBot="1" x14ac:dyDescent="0.3">
      <c r="A50" s="3" t="s">
        <v>53</v>
      </c>
      <c r="B50" s="24">
        <f>(B49)-(0)</f>
        <v>48419</v>
      </c>
      <c r="C50" s="28">
        <f>(((((((((((((C13)+(C18))+(C27))+(C32))+(C33))+(C37))+(C38))+(C41))+(C42))+(C43))+(C46))+(C47))+(C48))+(C49)</f>
        <v>41500</v>
      </c>
      <c r="D50" s="40">
        <f>(((((((((((((D13)+(D18))+(D27))+(D32))+(D33))+(D37))+(D38))+(D41))+(D42))+(D43))+(D46))+(D47))+(D48))+(D49)</f>
        <v>2808000</v>
      </c>
      <c r="E50" s="25">
        <f t="shared" si="0"/>
        <v>6919</v>
      </c>
      <c r="F50" s="26">
        <f t="shared" si="1"/>
        <v>1.1667228915662651</v>
      </c>
      <c r="G50" s="25">
        <f>(G49)-(0)</f>
        <v>99719.62</v>
      </c>
      <c r="H50" s="25">
        <f>(H49)-(0)</f>
        <v>85000</v>
      </c>
      <c r="I50" s="42">
        <f>(I49)-(0)</f>
        <v>107500</v>
      </c>
      <c r="J50" s="25">
        <f t="shared" si="2"/>
        <v>14719.619999999995</v>
      </c>
      <c r="K50" s="26">
        <f t="shared" si="3"/>
        <v>1.1731719999999999</v>
      </c>
      <c r="L50" s="25">
        <f>(L49)-(0)</f>
        <v>143762.52000000002</v>
      </c>
      <c r="M50" s="25">
        <f>(M49)-(0)</f>
        <v>145700</v>
      </c>
      <c r="N50" s="42">
        <f>(N49)-(0)</f>
        <v>149200</v>
      </c>
      <c r="O50" s="25">
        <f t="shared" si="4"/>
        <v>-1937.4799999999814</v>
      </c>
      <c r="P50" s="26">
        <f t="shared" si="5"/>
        <v>0.98670226492793423</v>
      </c>
      <c r="Q50" s="74">
        <f>(Q49)-(0)</f>
        <v>2450049.02</v>
      </c>
      <c r="R50" s="74">
        <f>(R49)-(0)</f>
        <v>2407500</v>
      </c>
      <c r="S50" s="74">
        <f>(S49)-(0)</f>
        <v>22000</v>
      </c>
      <c r="T50" s="74">
        <f t="shared" si="6"/>
        <v>42549.020000000019</v>
      </c>
      <c r="U50" s="75">
        <f t="shared" si="7"/>
        <v>1.0176735285565939</v>
      </c>
      <c r="V50" s="74">
        <f>(V49)-(0)</f>
        <v>1053.3900000000001</v>
      </c>
      <c r="W50" s="74">
        <f>(W49)-(0)</f>
        <v>0</v>
      </c>
      <c r="X50" s="74">
        <f t="shared" ref="X50:Z50" si="20">(X49)-(0)</f>
        <v>0</v>
      </c>
      <c r="Y50" s="74">
        <f t="shared" si="20"/>
        <v>1053.3900000000001</v>
      </c>
      <c r="Z50" s="74" t="e">
        <f t="shared" si="20"/>
        <v>#VALUE!</v>
      </c>
      <c r="AA50" s="25">
        <f t="shared" si="10"/>
        <v>2743003.5500000003</v>
      </c>
      <c r="AB50" s="25">
        <f t="shared" si="11"/>
        <v>2679700</v>
      </c>
      <c r="AC50" s="42">
        <f>((((D50)+(I50))+(N50))+(S50))+(X50)</f>
        <v>3086700</v>
      </c>
      <c r="AD50" s="25">
        <f t="shared" si="13"/>
        <v>63303.550000000279</v>
      </c>
      <c r="AE50" s="26">
        <f t="shared" si="14"/>
        <v>1.023623372019256</v>
      </c>
      <c r="AF50" s="52">
        <f t="shared" si="15"/>
        <v>407000</v>
      </c>
    </row>
    <row r="51" spans="1:32" ht="15.75" thickTop="1" x14ac:dyDescent="0.25">
      <c r="A51" s="3" t="s">
        <v>54</v>
      </c>
      <c r="B51" s="4"/>
      <c r="C51" s="4"/>
      <c r="D51" s="33"/>
      <c r="E51" s="4"/>
      <c r="F51" s="4"/>
      <c r="G51" s="4"/>
      <c r="H51" s="4"/>
      <c r="I51" s="33"/>
      <c r="J51" s="4"/>
      <c r="K51" s="4"/>
      <c r="L51" s="4"/>
      <c r="M51" s="4"/>
      <c r="N51" s="33"/>
      <c r="O51" s="4"/>
      <c r="P51" s="4"/>
      <c r="Q51" s="59"/>
      <c r="R51" s="59"/>
      <c r="S51" s="60"/>
      <c r="T51" s="59"/>
      <c r="U51" s="59"/>
      <c r="V51" s="59"/>
      <c r="W51" s="59"/>
      <c r="X51" s="60"/>
      <c r="Y51" s="59"/>
      <c r="Z51" s="59"/>
      <c r="AA51" s="4"/>
      <c r="AB51" s="4"/>
      <c r="AC51" s="33">
        <f t="shared" si="12"/>
        <v>0</v>
      </c>
      <c r="AD51" s="4"/>
      <c r="AE51" s="4"/>
      <c r="AF51" s="46">
        <f t="shared" si="15"/>
        <v>0</v>
      </c>
    </row>
    <row r="52" spans="1:32" x14ac:dyDescent="0.25">
      <c r="A52" s="3" t="s">
        <v>55</v>
      </c>
      <c r="B52" s="5">
        <f>-40</f>
        <v>-40</v>
      </c>
      <c r="C52" s="4"/>
      <c r="D52" s="34">
        <v>1000</v>
      </c>
      <c r="E52" s="5">
        <f t="shared" ref="E52:E83" si="21">(B52)-(C52)</f>
        <v>-40</v>
      </c>
      <c r="F52" s="6" t="str">
        <f t="shared" ref="F52:F83" si="22">IF(C52=0,"",(B52)/(C52))</f>
        <v/>
      </c>
      <c r="G52" s="4"/>
      <c r="H52" s="5">
        <f>5000</f>
        <v>5000</v>
      </c>
      <c r="I52" s="37"/>
      <c r="J52" s="5">
        <f t="shared" ref="J52:J83" si="23">(G52)-(H52)</f>
        <v>-5000</v>
      </c>
      <c r="K52" s="6">
        <f t="shared" ref="K52:K83" si="24">IF(H52=0,"",(G52)/(H52))</f>
        <v>0</v>
      </c>
      <c r="L52" s="5">
        <f>40102.84</f>
        <v>40102.839999999997</v>
      </c>
      <c r="M52" s="5">
        <f>55000</f>
        <v>55000</v>
      </c>
      <c r="N52" s="37">
        <v>50000</v>
      </c>
      <c r="O52" s="5">
        <f t="shared" ref="O52:O83" si="25">(L52)-(M52)</f>
        <v>-14897.160000000003</v>
      </c>
      <c r="P52" s="6">
        <f t="shared" ref="P52:P83" si="26">IF(M52=0,"",(L52)/(M52))</f>
        <v>0.72914254545454538</v>
      </c>
      <c r="Q52" s="62">
        <f>750</f>
        <v>750</v>
      </c>
      <c r="R52" s="59"/>
      <c r="S52" s="61"/>
      <c r="T52" s="62">
        <f t="shared" ref="T52:T76" si="27">(Q52)-(R52)</f>
        <v>750</v>
      </c>
      <c r="U52" s="63" t="str">
        <f t="shared" ref="U52:U76" si="28">IF(R52=0,"",(Q52)/(R52))</f>
        <v/>
      </c>
      <c r="V52" s="62">
        <f>111.09</f>
        <v>111.09</v>
      </c>
      <c r="W52" s="59"/>
      <c r="X52" s="61"/>
      <c r="Y52" s="62">
        <f t="shared" ref="Y52:Y83" si="29">(V52)-(W52)</f>
        <v>111.09</v>
      </c>
      <c r="Z52" s="63" t="str">
        <f t="shared" ref="Z52:Z83" si="30">IF(W52=0,"",(V52)/(W52))</f>
        <v/>
      </c>
      <c r="AA52" s="5">
        <f t="shared" ref="AA52:AA83" si="31">((((B52)+(G52))+(L52))+(Q52))+(V52)</f>
        <v>40923.929999999993</v>
      </c>
      <c r="AB52" s="5">
        <f t="shared" ref="AB52:AB83" si="32">((((C52)+(H52))+(M52))+(R52))+(W52)</f>
        <v>60000</v>
      </c>
      <c r="AC52" s="34">
        <f t="shared" si="12"/>
        <v>51000</v>
      </c>
      <c r="AD52" s="5">
        <f t="shared" ref="AD52:AD83" si="33">(AA52)-(AB52)</f>
        <v>-19076.070000000007</v>
      </c>
      <c r="AE52" s="6">
        <f t="shared" ref="AE52:AE83" si="34">IF(AB52=0,"",(AA52)/(AB52))</f>
        <v>0.68206549999999988</v>
      </c>
      <c r="AF52" s="47">
        <f t="shared" si="15"/>
        <v>-9000</v>
      </c>
    </row>
    <row r="53" spans="1:32" ht="23.25" x14ac:dyDescent="0.25">
      <c r="A53" s="3" t="s">
        <v>56</v>
      </c>
      <c r="B53" s="4"/>
      <c r="C53" s="4"/>
      <c r="D53" s="34"/>
      <c r="E53" s="5">
        <f t="shared" si="21"/>
        <v>0</v>
      </c>
      <c r="F53" s="6" t="str">
        <f t="shared" si="22"/>
        <v/>
      </c>
      <c r="G53" s="4"/>
      <c r="H53" s="4"/>
      <c r="I53" s="34"/>
      <c r="J53" s="5">
        <f t="shared" si="23"/>
        <v>0</v>
      </c>
      <c r="K53" s="6" t="str">
        <f t="shared" si="24"/>
        <v/>
      </c>
      <c r="L53" s="5">
        <f>371.71</f>
        <v>371.71</v>
      </c>
      <c r="M53" s="5">
        <f>6000</f>
        <v>6000</v>
      </c>
      <c r="N53" s="37">
        <v>1000</v>
      </c>
      <c r="O53" s="5">
        <f t="shared" si="25"/>
        <v>-5628.29</v>
      </c>
      <c r="P53" s="6">
        <f t="shared" si="26"/>
        <v>6.1951666666666662E-2</v>
      </c>
      <c r="Q53" s="59"/>
      <c r="R53" s="59"/>
      <c r="S53" s="61"/>
      <c r="T53" s="62">
        <f t="shared" si="27"/>
        <v>0</v>
      </c>
      <c r="U53" s="63" t="str">
        <f t="shared" si="28"/>
        <v/>
      </c>
      <c r="V53" s="59"/>
      <c r="W53" s="59"/>
      <c r="X53" s="61"/>
      <c r="Y53" s="62">
        <f t="shared" si="29"/>
        <v>0</v>
      </c>
      <c r="Z53" s="63" t="str">
        <f t="shared" si="30"/>
        <v/>
      </c>
      <c r="AA53" s="5">
        <f t="shared" si="31"/>
        <v>371.71</v>
      </c>
      <c r="AB53" s="5">
        <f t="shared" si="32"/>
        <v>6000</v>
      </c>
      <c r="AC53" s="34">
        <f t="shared" si="12"/>
        <v>1000</v>
      </c>
      <c r="AD53" s="5">
        <f t="shared" si="33"/>
        <v>-5628.29</v>
      </c>
      <c r="AE53" s="6">
        <f t="shared" si="34"/>
        <v>6.1951666666666662E-2</v>
      </c>
      <c r="AF53" s="47">
        <f t="shared" si="15"/>
        <v>-5000</v>
      </c>
    </row>
    <row r="54" spans="1:32" x14ac:dyDescent="0.25">
      <c r="A54" s="3" t="s">
        <v>57</v>
      </c>
      <c r="B54" s="4"/>
      <c r="C54" s="4"/>
      <c r="D54" s="34"/>
      <c r="E54" s="5">
        <f t="shared" si="21"/>
        <v>0</v>
      </c>
      <c r="F54" s="6" t="str">
        <f t="shared" si="22"/>
        <v/>
      </c>
      <c r="G54" s="4"/>
      <c r="H54" s="4"/>
      <c r="I54" s="34"/>
      <c r="J54" s="5">
        <f t="shared" si="23"/>
        <v>0</v>
      </c>
      <c r="K54" s="6" t="str">
        <f t="shared" si="24"/>
        <v/>
      </c>
      <c r="L54" s="4"/>
      <c r="M54" s="5">
        <f>57500</f>
        <v>57500</v>
      </c>
      <c r="N54" s="37"/>
      <c r="O54" s="5">
        <f t="shared" si="25"/>
        <v>-57500</v>
      </c>
      <c r="P54" s="6">
        <f t="shared" si="26"/>
        <v>0</v>
      </c>
      <c r="Q54" s="59"/>
      <c r="R54" s="59"/>
      <c r="S54" s="61"/>
      <c r="T54" s="62">
        <f t="shared" si="27"/>
        <v>0</v>
      </c>
      <c r="U54" s="63" t="str">
        <f t="shared" si="28"/>
        <v/>
      </c>
      <c r="V54" s="59"/>
      <c r="W54" s="59"/>
      <c r="X54" s="61"/>
      <c r="Y54" s="62">
        <f t="shared" si="29"/>
        <v>0</v>
      </c>
      <c r="Z54" s="63" t="str">
        <f t="shared" si="30"/>
        <v/>
      </c>
      <c r="AA54" s="5">
        <f t="shared" si="31"/>
        <v>0</v>
      </c>
      <c r="AB54" s="5">
        <f t="shared" si="32"/>
        <v>57500</v>
      </c>
      <c r="AC54" s="34">
        <f t="shared" si="12"/>
        <v>0</v>
      </c>
      <c r="AD54" s="5">
        <f t="shared" si="33"/>
        <v>-57500</v>
      </c>
      <c r="AE54" s="6">
        <f t="shared" si="34"/>
        <v>0</v>
      </c>
      <c r="AF54" s="47">
        <f t="shared" si="15"/>
        <v>-57500</v>
      </c>
    </row>
    <row r="55" spans="1:32" x14ac:dyDescent="0.25">
      <c r="A55" s="3" t="s">
        <v>58</v>
      </c>
      <c r="B55" s="4"/>
      <c r="C55" s="5">
        <f>2500</f>
        <v>2500</v>
      </c>
      <c r="D55" s="37">
        <v>2500</v>
      </c>
      <c r="E55" s="5">
        <f t="shared" si="21"/>
        <v>-2500</v>
      </c>
      <c r="F55" s="6">
        <f t="shared" si="22"/>
        <v>0</v>
      </c>
      <c r="G55" s="4"/>
      <c r="H55" s="4"/>
      <c r="I55" s="34"/>
      <c r="J55" s="5">
        <f t="shared" si="23"/>
        <v>0</v>
      </c>
      <c r="K55" s="6" t="str">
        <f t="shared" si="24"/>
        <v/>
      </c>
      <c r="L55" s="5">
        <f>10000</f>
        <v>10000</v>
      </c>
      <c r="M55" s="5">
        <f>15000</f>
        <v>15000</v>
      </c>
      <c r="N55" s="37">
        <v>11000</v>
      </c>
      <c r="O55" s="5">
        <f t="shared" si="25"/>
        <v>-5000</v>
      </c>
      <c r="P55" s="6">
        <f t="shared" si="26"/>
        <v>0.66666666666666663</v>
      </c>
      <c r="Q55" s="59"/>
      <c r="R55" s="59"/>
      <c r="S55" s="61"/>
      <c r="T55" s="62">
        <f t="shared" si="27"/>
        <v>0</v>
      </c>
      <c r="U55" s="63" t="str">
        <f t="shared" si="28"/>
        <v/>
      </c>
      <c r="V55" s="59"/>
      <c r="W55" s="59"/>
      <c r="X55" s="61"/>
      <c r="Y55" s="62">
        <f t="shared" si="29"/>
        <v>0</v>
      </c>
      <c r="Z55" s="63" t="str">
        <f t="shared" si="30"/>
        <v/>
      </c>
      <c r="AA55" s="5">
        <f t="shared" si="31"/>
        <v>10000</v>
      </c>
      <c r="AB55" s="5">
        <f t="shared" si="32"/>
        <v>17500</v>
      </c>
      <c r="AC55" s="34">
        <f t="shared" si="12"/>
        <v>13500</v>
      </c>
      <c r="AD55" s="5">
        <f t="shared" si="33"/>
        <v>-7500</v>
      </c>
      <c r="AE55" s="6">
        <f t="shared" si="34"/>
        <v>0.5714285714285714</v>
      </c>
      <c r="AF55" s="47">
        <f t="shared" si="15"/>
        <v>-4000</v>
      </c>
    </row>
    <row r="56" spans="1:32" x14ac:dyDescent="0.25">
      <c r="A56" s="3" t="s">
        <v>59</v>
      </c>
      <c r="B56" s="4"/>
      <c r="C56" s="4"/>
      <c r="D56" s="34">
        <v>1000</v>
      </c>
      <c r="E56" s="5">
        <f t="shared" si="21"/>
        <v>0</v>
      </c>
      <c r="F56" s="6" t="str">
        <f t="shared" si="22"/>
        <v/>
      </c>
      <c r="G56" s="5">
        <f>163</f>
        <v>163</v>
      </c>
      <c r="H56" s="4"/>
      <c r="I56" s="34"/>
      <c r="J56" s="5">
        <f t="shared" si="23"/>
        <v>163</v>
      </c>
      <c r="K56" s="6" t="str">
        <f t="shared" si="24"/>
        <v/>
      </c>
      <c r="L56" s="5">
        <f>18507.74</f>
        <v>18507.740000000002</v>
      </c>
      <c r="M56" s="5">
        <f>9500</f>
        <v>9500</v>
      </c>
      <c r="N56" s="37">
        <v>11000</v>
      </c>
      <c r="O56" s="5">
        <f t="shared" si="25"/>
        <v>9007.7400000000016</v>
      </c>
      <c r="P56" s="6">
        <f t="shared" si="26"/>
        <v>1.9481831578947371</v>
      </c>
      <c r="Q56" s="59"/>
      <c r="R56" s="62">
        <f>1500</f>
        <v>1500</v>
      </c>
      <c r="S56" s="69"/>
      <c r="T56" s="62">
        <f t="shared" si="27"/>
        <v>-1500</v>
      </c>
      <c r="U56" s="63">
        <f t="shared" si="28"/>
        <v>0</v>
      </c>
      <c r="V56" s="59"/>
      <c r="W56" s="59"/>
      <c r="X56" s="61"/>
      <c r="Y56" s="62">
        <f t="shared" si="29"/>
        <v>0</v>
      </c>
      <c r="Z56" s="63" t="str">
        <f t="shared" si="30"/>
        <v/>
      </c>
      <c r="AA56" s="5">
        <f t="shared" si="31"/>
        <v>18670.740000000002</v>
      </c>
      <c r="AB56" s="5">
        <f t="shared" si="32"/>
        <v>11000</v>
      </c>
      <c r="AC56" s="34">
        <f t="shared" si="12"/>
        <v>12000</v>
      </c>
      <c r="AD56" s="5">
        <f t="shared" si="33"/>
        <v>7670.7400000000016</v>
      </c>
      <c r="AE56" s="6">
        <f t="shared" si="34"/>
        <v>1.6973400000000001</v>
      </c>
      <c r="AF56" s="47">
        <f t="shared" si="15"/>
        <v>1000</v>
      </c>
    </row>
    <row r="57" spans="1:32" x14ac:dyDescent="0.25">
      <c r="A57" s="3" t="s">
        <v>60</v>
      </c>
      <c r="B57" s="4"/>
      <c r="C57" s="4"/>
      <c r="D57" s="34"/>
      <c r="E57" s="5">
        <f t="shared" si="21"/>
        <v>0</v>
      </c>
      <c r="F57" s="6" t="str">
        <f t="shared" si="22"/>
        <v/>
      </c>
      <c r="G57" s="4"/>
      <c r="H57" s="4"/>
      <c r="I57" s="34"/>
      <c r="J57" s="5">
        <f t="shared" si="23"/>
        <v>0</v>
      </c>
      <c r="K57" s="6" t="str">
        <f t="shared" si="24"/>
        <v/>
      </c>
      <c r="L57" s="5">
        <f>9945.89</f>
        <v>9945.89</v>
      </c>
      <c r="M57" s="5">
        <f>3000</f>
        <v>3000</v>
      </c>
      <c r="N57" s="37">
        <v>7500</v>
      </c>
      <c r="O57" s="5">
        <f t="shared" si="25"/>
        <v>6945.8899999999994</v>
      </c>
      <c r="P57" s="6">
        <f t="shared" si="26"/>
        <v>3.3152966666666663</v>
      </c>
      <c r="Q57" s="59"/>
      <c r="R57" s="59"/>
      <c r="S57" s="61"/>
      <c r="T57" s="62">
        <f t="shared" si="27"/>
        <v>0</v>
      </c>
      <c r="U57" s="63" t="str">
        <f t="shared" si="28"/>
        <v/>
      </c>
      <c r="V57" s="59"/>
      <c r="W57" s="59"/>
      <c r="X57" s="61"/>
      <c r="Y57" s="62">
        <f t="shared" si="29"/>
        <v>0</v>
      </c>
      <c r="Z57" s="63" t="str">
        <f t="shared" si="30"/>
        <v/>
      </c>
      <c r="AA57" s="5">
        <f t="shared" si="31"/>
        <v>9945.89</v>
      </c>
      <c r="AB57" s="5">
        <f t="shared" si="32"/>
        <v>3000</v>
      </c>
      <c r="AC57" s="34">
        <f t="shared" si="12"/>
        <v>7500</v>
      </c>
      <c r="AD57" s="5">
        <f t="shared" si="33"/>
        <v>6945.8899999999994</v>
      </c>
      <c r="AE57" s="6">
        <f t="shared" si="34"/>
        <v>3.3152966666666663</v>
      </c>
      <c r="AF57" s="47">
        <f t="shared" si="15"/>
        <v>4500</v>
      </c>
    </row>
    <row r="58" spans="1:32" ht="23.25" x14ac:dyDescent="0.25">
      <c r="A58" s="3" t="s">
        <v>61</v>
      </c>
      <c r="B58" s="4"/>
      <c r="C58" s="4"/>
      <c r="D58" s="34"/>
      <c r="E58" s="5">
        <f t="shared" si="21"/>
        <v>0</v>
      </c>
      <c r="F58" s="6" t="str">
        <f t="shared" si="22"/>
        <v/>
      </c>
      <c r="G58" s="4"/>
      <c r="H58" s="4"/>
      <c r="I58" s="34"/>
      <c r="J58" s="5">
        <f t="shared" si="23"/>
        <v>0</v>
      </c>
      <c r="K58" s="6" t="str">
        <f t="shared" si="24"/>
        <v/>
      </c>
      <c r="L58" s="5">
        <f>4535.93</f>
        <v>4535.93</v>
      </c>
      <c r="M58" s="5">
        <f>10500</f>
        <v>10500</v>
      </c>
      <c r="N58" s="37">
        <v>7500</v>
      </c>
      <c r="O58" s="5">
        <f t="shared" si="25"/>
        <v>-5964.07</v>
      </c>
      <c r="P58" s="6">
        <f t="shared" si="26"/>
        <v>0.43199333333333334</v>
      </c>
      <c r="Q58" s="59"/>
      <c r="R58" s="59"/>
      <c r="S58" s="61"/>
      <c r="T58" s="62">
        <f t="shared" si="27"/>
        <v>0</v>
      </c>
      <c r="U58" s="63" t="str">
        <f t="shared" si="28"/>
        <v/>
      </c>
      <c r="V58" s="59"/>
      <c r="W58" s="59"/>
      <c r="X58" s="61"/>
      <c r="Y58" s="62">
        <f t="shared" si="29"/>
        <v>0</v>
      </c>
      <c r="Z58" s="63" t="str">
        <f t="shared" si="30"/>
        <v/>
      </c>
      <c r="AA58" s="5">
        <f t="shared" si="31"/>
        <v>4535.93</v>
      </c>
      <c r="AB58" s="5">
        <f t="shared" si="32"/>
        <v>10500</v>
      </c>
      <c r="AC58" s="34">
        <f t="shared" si="12"/>
        <v>7500</v>
      </c>
      <c r="AD58" s="5">
        <f t="shared" si="33"/>
        <v>-5964.07</v>
      </c>
      <c r="AE58" s="6">
        <f t="shared" si="34"/>
        <v>0.43199333333333334</v>
      </c>
      <c r="AF58" s="47">
        <f t="shared" si="15"/>
        <v>-3000</v>
      </c>
    </row>
    <row r="59" spans="1:32" ht="23.25" x14ac:dyDescent="0.25">
      <c r="A59" s="3" t="s">
        <v>62</v>
      </c>
      <c r="B59" s="4"/>
      <c r="C59" s="4"/>
      <c r="D59" s="34"/>
      <c r="E59" s="5">
        <f t="shared" si="21"/>
        <v>0</v>
      </c>
      <c r="F59" s="6" t="str">
        <f t="shared" si="22"/>
        <v/>
      </c>
      <c r="G59" s="4"/>
      <c r="H59" s="4"/>
      <c r="I59" s="34"/>
      <c r="J59" s="5">
        <f t="shared" si="23"/>
        <v>0</v>
      </c>
      <c r="K59" s="6" t="str">
        <f t="shared" si="24"/>
        <v/>
      </c>
      <c r="L59" s="5">
        <f>19877.74</f>
        <v>19877.740000000002</v>
      </c>
      <c r="M59" s="5">
        <f>22000</f>
        <v>22000</v>
      </c>
      <c r="N59" s="37">
        <v>13500</v>
      </c>
      <c r="O59" s="5">
        <f t="shared" si="25"/>
        <v>-2122.2599999999984</v>
      </c>
      <c r="P59" s="6">
        <f t="shared" si="26"/>
        <v>0.90353363636363648</v>
      </c>
      <c r="Q59" s="59"/>
      <c r="R59" s="59"/>
      <c r="S59" s="61"/>
      <c r="T59" s="62">
        <f t="shared" si="27"/>
        <v>0</v>
      </c>
      <c r="U59" s="63" t="str">
        <f t="shared" si="28"/>
        <v/>
      </c>
      <c r="V59" s="59"/>
      <c r="W59" s="59"/>
      <c r="X59" s="61"/>
      <c r="Y59" s="62">
        <f t="shared" si="29"/>
        <v>0</v>
      </c>
      <c r="Z59" s="63" t="str">
        <f t="shared" si="30"/>
        <v/>
      </c>
      <c r="AA59" s="5">
        <f t="shared" si="31"/>
        <v>19877.740000000002</v>
      </c>
      <c r="AB59" s="5">
        <f t="shared" si="32"/>
        <v>22000</v>
      </c>
      <c r="AC59" s="34">
        <f t="shared" si="12"/>
        <v>13500</v>
      </c>
      <c r="AD59" s="5">
        <f t="shared" si="33"/>
        <v>-2122.2599999999984</v>
      </c>
      <c r="AE59" s="6">
        <f t="shared" si="34"/>
        <v>0.90353363636363648</v>
      </c>
      <c r="AF59" s="47">
        <f t="shared" si="15"/>
        <v>-8500</v>
      </c>
    </row>
    <row r="60" spans="1:32" x14ac:dyDescent="0.25">
      <c r="A60" s="3" t="s">
        <v>63</v>
      </c>
      <c r="B60" s="4"/>
      <c r="C60" s="4"/>
      <c r="D60" s="34"/>
      <c r="E60" s="5">
        <f t="shared" si="21"/>
        <v>0</v>
      </c>
      <c r="F60" s="6" t="str">
        <f t="shared" si="22"/>
        <v/>
      </c>
      <c r="G60" s="5">
        <f>1927.88</f>
        <v>1927.88</v>
      </c>
      <c r="H60" s="4"/>
      <c r="I60" s="34">
        <v>2500</v>
      </c>
      <c r="J60" s="5">
        <f t="shared" si="23"/>
        <v>1927.88</v>
      </c>
      <c r="K60" s="6" t="str">
        <f t="shared" si="24"/>
        <v/>
      </c>
      <c r="L60" s="4"/>
      <c r="M60" s="4"/>
      <c r="N60" s="34"/>
      <c r="O60" s="5">
        <f t="shared" si="25"/>
        <v>0</v>
      </c>
      <c r="P60" s="6" t="str">
        <f t="shared" si="26"/>
        <v/>
      </c>
      <c r="Q60" s="59"/>
      <c r="R60" s="59"/>
      <c r="S60" s="61"/>
      <c r="T60" s="62">
        <f t="shared" si="27"/>
        <v>0</v>
      </c>
      <c r="U60" s="63" t="str">
        <f t="shared" si="28"/>
        <v/>
      </c>
      <c r="V60" s="59"/>
      <c r="W60" s="59"/>
      <c r="X60" s="61"/>
      <c r="Y60" s="62">
        <f t="shared" si="29"/>
        <v>0</v>
      </c>
      <c r="Z60" s="63" t="str">
        <f t="shared" si="30"/>
        <v/>
      </c>
      <c r="AA60" s="5">
        <f t="shared" si="31"/>
        <v>1927.88</v>
      </c>
      <c r="AB60" s="5">
        <f t="shared" si="32"/>
        <v>0</v>
      </c>
      <c r="AC60" s="34">
        <f t="shared" si="12"/>
        <v>2500</v>
      </c>
      <c r="AD60" s="5">
        <f t="shared" si="33"/>
        <v>1927.88</v>
      </c>
      <c r="AE60" s="6" t="str">
        <f t="shared" si="34"/>
        <v/>
      </c>
      <c r="AF60" s="47">
        <f t="shared" si="15"/>
        <v>2500</v>
      </c>
    </row>
    <row r="61" spans="1:32" ht="23.25" x14ac:dyDescent="0.25">
      <c r="A61" s="3" t="s">
        <v>64</v>
      </c>
      <c r="B61" s="4"/>
      <c r="C61" s="4"/>
      <c r="D61" s="34"/>
      <c r="E61" s="5">
        <f t="shared" si="21"/>
        <v>0</v>
      </c>
      <c r="F61" s="6" t="str">
        <f t="shared" si="22"/>
        <v/>
      </c>
      <c r="G61" s="4"/>
      <c r="H61" s="4"/>
      <c r="I61" s="34"/>
      <c r="J61" s="5">
        <f t="shared" si="23"/>
        <v>0</v>
      </c>
      <c r="K61" s="6" t="str">
        <f t="shared" si="24"/>
        <v/>
      </c>
      <c r="L61" s="5">
        <f>6795.45</f>
        <v>6795.45</v>
      </c>
      <c r="M61" s="4"/>
      <c r="N61" s="34">
        <v>8000</v>
      </c>
      <c r="O61" s="5">
        <f t="shared" si="25"/>
        <v>6795.45</v>
      </c>
      <c r="P61" s="6" t="str">
        <f t="shared" si="26"/>
        <v/>
      </c>
      <c r="Q61" s="59"/>
      <c r="R61" s="59"/>
      <c r="S61" s="61"/>
      <c r="T61" s="62">
        <f t="shared" si="27"/>
        <v>0</v>
      </c>
      <c r="U61" s="63" t="str">
        <f t="shared" si="28"/>
        <v/>
      </c>
      <c r="V61" s="59"/>
      <c r="W61" s="59"/>
      <c r="X61" s="61"/>
      <c r="Y61" s="62">
        <f t="shared" si="29"/>
        <v>0</v>
      </c>
      <c r="Z61" s="63" t="str">
        <f t="shared" si="30"/>
        <v/>
      </c>
      <c r="AA61" s="5">
        <f t="shared" si="31"/>
        <v>6795.45</v>
      </c>
      <c r="AB61" s="5">
        <f t="shared" si="32"/>
        <v>0</v>
      </c>
      <c r="AC61" s="34">
        <f t="shared" si="12"/>
        <v>8000</v>
      </c>
      <c r="AD61" s="5">
        <f t="shared" si="33"/>
        <v>6795.45</v>
      </c>
      <c r="AE61" s="6" t="str">
        <f t="shared" si="34"/>
        <v/>
      </c>
      <c r="AF61" s="47">
        <f t="shared" si="15"/>
        <v>8000</v>
      </c>
    </row>
    <row r="62" spans="1:32" x14ac:dyDescent="0.25">
      <c r="A62" s="3" t="s">
        <v>65</v>
      </c>
      <c r="B62" s="4"/>
      <c r="C62" s="5">
        <f>1000</f>
        <v>1000</v>
      </c>
      <c r="D62" s="37">
        <v>1500</v>
      </c>
      <c r="E62" s="5">
        <f t="shared" si="21"/>
        <v>-1000</v>
      </c>
      <c r="F62" s="6">
        <f t="shared" si="22"/>
        <v>0</v>
      </c>
      <c r="G62" s="5">
        <f>1874.99</f>
        <v>1874.99</v>
      </c>
      <c r="H62" s="5">
        <f>1500</f>
        <v>1500</v>
      </c>
      <c r="I62" s="37">
        <v>3000</v>
      </c>
      <c r="J62" s="5">
        <f t="shared" si="23"/>
        <v>374.99</v>
      </c>
      <c r="K62" s="6">
        <f t="shared" si="24"/>
        <v>1.2499933333333333</v>
      </c>
      <c r="L62" s="5">
        <f>1569.54</f>
        <v>1569.54</v>
      </c>
      <c r="M62" s="5">
        <f>5000</f>
        <v>5000</v>
      </c>
      <c r="N62" s="37">
        <v>2500</v>
      </c>
      <c r="O62" s="5">
        <f t="shared" si="25"/>
        <v>-3430.46</v>
      </c>
      <c r="P62" s="6">
        <f t="shared" si="26"/>
        <v>0.31390800000000002</v>
      </c>
      <c r="Q62" s="62">
        <f>133.94</f>
        <v>133.94</v>
      </c>
      <c r="R62" s="62">
        <f>1000</f>
        <v>1000</v>
      </c>
      <c r="S62" s="69"/>
      <c r="T62" s="62">
        <f t="shared" si="27"/>
        <v>-866.06</v>
      </c>
      <c r="U62" s="63">
        <f t="shared" si="28"/>
        <v>0.13394</v>
      </c>
      <c r="V62" s="59"/>
      <c r="W62" s="59"/>
      <c r="X62" s="61"/>
      <c r="Y62" s="62">
        <f t="shared" si="29"/>
        <v>0</v>
      </c>
      <c r="Z62" s="63" t="str">
        <f t="shared" si="30"/>
        <v/>
      </c>
      <c r="AA62" s="5">
        <f t="shared" si="31"/>
        <v>3578.47</v>
      </c>
      <c r="AB62" s="5">
        <f t="shared" si="32"/>
        <v>8500</v>
      </c>
      <c r="AC62" s="34">
        <f t="shared" si="12"/>
        <v>7000</v>
      </c>
      <c r="AD62" s="5">
        <f t="shared" si="33"/>
        <v>-4921.5300000000007</v>
      </c>
      <c r="AE62" s="6">
        <f t="shared" si="34"/>
        <v>0.42099647058823525</v>
      </c>
      <c r="AF62" s="47">
        <f t="shared" si="15"/>
        <v>-1500</v>
      </c>
    </row>
    <row r="63" spans="1:32" x14ac:dyDescent="0.25">
      <c r="A63" s="3" t="s">
        <v>66</v>
      </c>
      <c r="B63" s="4"/>
      <c r="C63" s="4"/>
      <c r="D63" s="34"/>
      <c r="E63" s="5">
        <f t="shared" si="21"/>
        <v>0</v>
      </c>
      <c r="F63" s="6" t="str">
        <f t="shared" si="22"/>
        <v/>
      </c>
      <c r="G63" s="4"/>
      <c r="H63" s="4"/>
      <c r="I63" s="34"/>
      <c r="J63" s="5">
        <f t="shared" si="23"/>
        <v>0</v>
      </c>
      <c r="K63" s="6" t="str">
        <f t="shared" si="24"/>
        <v/>
      </c>
      <c r="L63" s="5">
        <f>6922.38</f>
        <v>6922.38</v>
      </c>
      <c r="M63" s="5">
        <f>17000</f>
        <v>17000</v>
      </c>
      <c r="N63" s="37">
        <v>12000</v>
      </c>
      <c r="O63" s="5">
        <f t="shared" si="25"/>
        <v>-10077.619999999999</v>
      </c>
      <c r="P63" s="6">
        <f t="shared" si="26"/>
        <v>0.40719882352941178</v>
      </c>
      <c r="Q63" s="59"/>
      <c r="R63" s="59"/>
      <c r="S63" s="61"/>
      <c r="T63" s="62">
        <f t="shared" si="27"/>
        <v>0</v>
      </c>
      <c r="U63" s="63" t="str">
        <f t="shared" si="28"/>
        <v/>
      </c>
      <c r="V63" s="59"/>
      <c r="W63" s="59"/>
      <c r="X63" s="61"/>
      <c r="Y63" s="62">
        <f t="shared" si="29"/>
        <v>0</v>
      </c>
      <c r="Z63" s="63" t="str">
        <f t="shared" si="30"/>
        <v/>
      </c>
      <c r="AA63" s="5">
        <f t="shared" si="31"/>
        <v>6922.38</v>
      </c>
      <c r="AB63" s="5">
        <f t="shared" si="32"/>
        <v>17000</v>
      </c>
      <c r="AC63" s="34">
        <f t="shared" si="12"/>
        <v>12000</v>
      </c>
      <c r="AD63" s="5">
        <f t="shared" si="33"/>
        <v>-10077.619999999999</v>
      </c>
      <c r="AE63" s="6">
        <f t="shared" si="34"/>
        <v>0.40719882352941178</v>
      </c>
      <c r="AF63" s="47">
        <f t="shared" si="15"/>
        <v>-5000</v>
      </c>
    </row>
    <row r="64" spans="1:32" x14ac:dyDescent="0.25">
      <c r="A64" s="3" t="s">
        <v>67</v>
      </c>
      <c r="B64" s="4"/>
      <c r="C64" s="5">
        <f>15000</f>
        <v>15000</v>
      </c>
      <c r="D64" s="37">
        <v>15000</v>
      </c>
      <c r="E64" s="5">
        <f t="shared" si="21"/>
        <v>-15000</v>
      </c>
      <c r="F64" s="6">
        <f t="shared" si="22"/>
        <v>0</v>
      </c>
      <c r="G64" s="4"/>
      <c r="H64" s="5">
        <f>5000</f>
        <v>5000</v>
      </c>
      <c r="I64" s="37">
        <v>5000</v>
      </c>
      <c r="J64" s="5">
        <f t="shared" si="23"/>
        <v>-5000</v>
      </c>
      <c r="K64" s="6">
        <f t="shared" si="24"/>
        <v>0</v>
      </c>
      <c r="L64" s="5">
        <f>6223</f>
        <v>6223</v>
      </c>
      <c r="M64" s="5">
        <f>15800</f>
        <v>15800</v>
      </c>
      <c r="N64" s="45">
        <v>12000</v>
      </c>
      <c r="O64" s="5">
        <f t="shared" si="25"/>
        <v>-9577</v>
      </c>
      <c r="P64" s="6">
        <f t="shared" si="26"/>
        <v>0.39386075949367089</v>
      </c>
      <c r="Q64" s="59"/>
      <c r="R64" s="62">
        <f>8500</f>
        <v>8500</v>
      </c>
      <c r="S64" s="69"/>
      <c r="T64" s="62">
        <f t="shared" si="27"/>
        <v>-8500</v>
      </c>
      <c r="U64" s="63">
        <f t="shared" si="28"/>
        <v>0</v>
      </c>
      <c r="V64" s="59"/>
      <c r="W64" s="59"/>
      <c r="X64" s="61"/>
      <c r="Y64" s="62">
        <f t="shared" si="29"/>
        <v>0</v>
      </c>
      <c r="Z64" s="63" t="str">
        <f t="shared" si="30"/>
        <v/>
      </c>
      <c r="AA64" s="5">
        <f t="shared" si="31"/>
        <v>6223</v>
      </c>
      <c r="AB64" s="5">
        <f t="shared" si="32"/>
        <v>44300</v>
      </c>
      <c r="AC64" s="34">
        <f>SUM(D64,I64,N65,S64,X64)</f>
        <v>21000</v>
      </c>
      <c r="AD64" s="5">
        <f t="shared" si="33"/>
        <v>-38077</v>
      </c>
      <c r="AE64" s="6">
        <f t="shared" si="34"/>
        <v>0.14047404063205418</v>
      </c>
      <c r="AF64" s="47">
        <f t="shared" si="15"/>
        <v>-23300</v>
      </c>
    </row>
    <row r="65" spans="1:32" x14ac:dyDescent="0.25">
      <c r="A65" s="3" t="s">
        <v>68</v>
      </c>
      <c r="B65" s="4"/>
      <c r="C65" s="5">
        <f>1500</f>
        <v>1500</v>
      </c>
      <c r="D65" s="37">
        <v>2000</v>
      </c>
      <c r="E65" s="5">
        <f t="shared" si="21"/>
        <v>-1500</v>
      </c>
      <c r="F65" s="6">
        <f t="shared" si="22"/>
        <v>0</v>
      </c>
      <c r="G65" s="4"/>
      <c r="H65" s="5">
        <f>1500</f>
        <v>1500</v>
      </c>
      <c r="I65" s="37">
        <v>1500</v>
      </c>
      <c r="J65" s="5">
        <f t="shared" si="23"/>
        <v>-1500</v>
      </c>
      <c r="K65" s="6">
        <f t="shared" si="24"/>
        <v>0</v>
      </c>
      <c r="L65" s="5">
        <f>317.28</f>
        <v>317.27999999999997</v>
      </c>
      <c r="M65" s="5">
        <f>2000</f>
        <v>2000</v>
      </c>
      <c r="N65" s="37">
        <v>1000</v>
      </c>
      <c r="O65" s="5">
        <f t="shared" si="25"/>
        <v>-1682.72</v>
      </c>
      <c r="P65" s="6">
        <f t="shared" si="26"/>
        <v>0.15863999999999998</v>
      </c>
      <c r="Q65" s="62">
        <f>154.5</f>
        <v>154.5</v>
      </c>
      <c r="R65" s="59"/>
      <c r="S65" s="61"/>
      <c r="T65" s="62">
        <f t="shared" si="27"/>
        <v>154.5</v>
      </c>
      <c r="U65" s="63" t="str">
        <f t="shared" si="28"/>
        <v/>
      </c>
      <c r="V65" s="59"/>
      <c r="W65" s="59"/>
      <c r="X65" s="61"/>
      <c r="Y65" s="62">
        <f t="shared" si="29"/>
        <v>0</v>
      </c>
      <c r="Z65" s="63" t="str">
        <f t="shared" si="30"/>
        <v/>
      </c>
      <c r="AA65" s="5">
        <f t="shared" si="31"/>
        <v>471.78</v>
      </c>
      <c r="AB65" s="5">
        <f t="shared" si="32"/>
        <v>5000</v>
      </c>
      <c r="AC65" s="34" t="e">
        <f>SUM(D65,I65,#REF!,S65,X65)</f>
        <v>#REF!</v>
      </c>
      <c r="AD65" s="5">
        <f t="shared" si="33"/>
        <v>-4528.22</v>
      </c>
      <c r="AE65" s="6">
        <f t="shared" si="34"/>
        <v>9.4355999999999995E-2</v>
      </c>
      <c r="AF65" s="47" t="e">
        <f t="shared" si="15"/>
        <v>#REF!</v>
      </c>
    </row>
    <row r="66" spans="1:32" x14ac:dyDescent="0.25">
      <c r="A66" s="3" t="s">
        <v>69</v>
      </c>
      <c r="B66" s="4"/>
      <c r="C66" s="4"/>
      <c r="D66" s="34"/>
      <c r="E66" s="5">
        <f t="shared" si="21"/>
        <v>0</v>
      </c>
      <c r="F66" s="6" t="str">
        <f t="shared" si="22"/>
        <v/>
      </c>
      <c r="G66" s="4"/>
      <c r="H66" s="4"/>
      <c r="I66" s="34"/>
      <c r="J66" s="5">
        <f t="shared" si="23"/>
        <v>0</v>
      </c>
      <c r="K66" s="6" t="str">
        <f t="shared" si="24"/>
        <v/>
      </c>
      <c r="L66" s="5">
        <f>927.35</f>
        <v>927.35</v>
      </c>
      <c r="M66" s="5">
        <f>3500</f>
        <v>3500</v>
      </c>
      <c r="N66" s="37">
        <v>2500</v>
      </c>
      <c r="O66" s="5">
        <f t="shared" si="25"/>
        <v>-2572.65</v>
      </c>
      <c r="P66" s="6">
        <f t="shared" si="26"/>
        <v>0.26495714285714289</v>
      </c>
      <c r="Q66" s="59"/>
      <c r="R66" s="59"/>
      <c r="S66" s="61"/>
      <c r="T66" s="62">
        <f t="shared" si="27"/>
        <v>0</v>
      </c>
      <c r="U66" s="63" t="str">
        <f t="shared" si="28"/>
        <v/>
      </c>
      <c r="V66" s="59"/>
      <c r="W66" s="59"/>
      <c r="X66" s="61"/>
      <c r="Y66" s="62">
        <f t="shared" si="29"/>
        <v>0</v>
      </c>
      <c r="Z66" s="63" t="str">
        <f t="shared" si="30"/>
        <v/>
      </c>
      <c r="AA66" s="5">
        <f t="shared" si="31"/>
        <v>927.35</v>
      </c>
      <c r="AB66" s="5">
        <f t="shared" si="32"/>
        <v>3500</v>
      </c>
      <c r="AC66" s="34">
        <f t="shared" si="12"/>
        <v>2500</v>
      </c>
      <c r="AD66" s="5">
        <f t="shared" si="33"/>
        <v>-2572.65</v>
      </c>
      <c r="AE66" s="6">
        <f t="shared" si="34"/>
        <v>0.26495714285714289</v>
      </c>
      <c r="AF66" s="47">
        <f t="shared" si="15"/>
        <v>-1000</v>
      </c>
    </row>
    <row r="67" spans="1:32" x14ac:dyDescent="0.25">
      <c r="A67" s="3" t="s">
        <v>70</v>
      </c>
      <c r="B67" s="5">
        <f>706.16</f>
        <v>706.16</v>
      </c>
      <c r="C67" s="5">
        <f>1000</f>
        <v>1000</v>
      </c>
      <c r="D67" s="37">
        <v>12000</v>
      </c>
      <c r="E67" s="5">
        <f t="shared" si="21"/>
        <v>-293.84000000000003</v>
      </c>
      <c r="F67" s="6">
        <f t="shared" si="22"/>
        <v>0.70616000000000001</v>
      </c>
      <c r="G67" s="5">
        <f>2828</f>
        <v>2828</v>
      </c>
      <c r="H67" s="5">
        <f>2000</f>
        <v>2000</v>
      </c>
      <c r="I67" s="37">
        <v>3500</v>
      </c>
      <c r="J67" s="5">
        <f t="shared" si="23"/>
        <v>828</v>
      </c>
      <c r="K67" s="6">
        <f t="shared" si="24"/>
        <v>1.4139999999999999</v>
      </c>
      <c r="L67" s="5">
        <f>470.19</f>
        <v>470.19</v>
      </c>
      <c r="M67" s="5">
        <f>3000</f>
        <v>3000</v>
      </c>
      <c r="N67" s="37">
        <v>2000</v>
      </c>
      <c r="O67" s="5">
        <f t="shared" si="25"/>
        <v>-2529.81</v>
      </c>
      <c r="P67" s="6">
        <f t="shared" si="26"/>
        <v>0.15673000000000001</v>
      </c>
      <c r="Q67" s="62">
        <f>7473.2</f>
        <v>7473.2</v>
      </c>
      <c r="R67" s="62">
        <f>7500</f>
        <v>7500</v>
      </c>
      <c r="S67" s="69"/>
      <c r="T67" s="62">
        <f t="shared" si="27"/>
        <v>-26.800000000000182</v>
      </c>
      <c r="U67" s="63">
        <f t="shared" si="28"/>
        <v>0.99642666666666668</v>
      </c>
      <c r="V67" s="59"/>
      <c r="W67" s="59"/>
      <c r="X67" s="61"/>
      <c r="Y67" s="62">
        <f t="shared" si="29"/>
        <v>0</v>
      </c>
      <c r="Z67" s="63" t="str">
        <f t="shared" si="30"/>
        <v/>
      </c>
      <c r="AA67" s="5">
        <f t="shared" si="31"/>
        <v>11477.55</v>
      </c>
      <c r="AB67" s="5">
        <f t="shared" si="32"/>
        <v>13500</v>
      </c>
      <c r="AC67" s="34">
        <f t="shared" si="12"/>
        <v>17500</v>
      </c>
      <c r="AD67" s="5">
        <f t="shared" si="33"/>
        <v>-2022.4500000000007</v>
      </c>
      <c r="AE67" s="6">
        <f t="shared" si="34"/>
        <v>0.85018888888888888</v>
      </c>
      <c r="AF67" s="47">
        <f t="shared" si="15"/>
        <v>4000</v>
      </c>
    </row>
    <row r="68" spans="1:32" x14ac:dyDescent="0.25">
      <c r="A68" s="3" t="s">
        <v>71</v>
      </c>
      <c r="B68" s="5">
        <f>10228.17</f>
        <v>10228.17</v>
      </c>
      <c r="C68" s="5">
        <f>1500</f>
        <v>1500</v>
      </c>
      <c r="D68" s="37">
        <v>13000</v>
      </c>
      <c r="E68" s="5">
        <f t="shared" si="21"/>
        <v>8728.17</v>
      </c>
      <c r="F68" s="6">
        <f t="shared" si="22"/>
        <v>6.8187800000000003</v>
      </c>
      <c r="G68" s="5">
        <f>1599.13</f>
        <v>1599.13</v>
      </c>
      <c r="H68" s="5">
        <f>2500</f>
        <v>2500</v>
      </c>
      <c r="I68" s="37">
        <v>2000</v>
      </c>
      <c r="J68" s="5">
        <f t="shared" si="23"/>
        <v>-900.86999999999989</v>
      </c>
      <c r="K68" s="6">
        <f t="shared" si="24"/>
        <v>0.639652</v>
      </c>
      <c r="L68" s="5">
        <f>422.9</f>
        <v>422.9</v>
      </c>
      <c r="M68" s="5">
        <f>1500</f>
        <v>1500</v>
      </c>
      <c r="N68" s="37">
        <v>1000</v>
      </c>
      <c r="O68" s="5">
        <f t="shared" si="25"/>
        <v>-1077.0999999999999</v>
      </c>
      <c r="P68" s="6">
        <f t="shared" si="26"/>
        <v>0.28193333333333331</v>
      </c>
      <c r="Q68" s="62">
        <f>9440.14</f>
        <v>9440.14</v>
      </c>
      <c r="R68" s="62">
        <f>12000</f>
        <v>12000</v>
      </c>
      <c r="S68" s="69"/>
      <c r="T68" s="62">
        <f t="shared" si="27"/>
        <v>-2559.8600000000006</v>
      </c>
      <c r="U68" s="63">
        <f t="shared" si="28"/>
        <v>0.78667833333333326</v>
      </c>
      <c r="V68" s="59"/>
      <c r="W68" s="59"/>
      <c r="X68" s="61"/>
      <c r="Y68" s="62">
        <f t="shared" si="29"/>
        <v>0</v>
      </c>
      <c r="Z68" s="63" t="str">
        <f t="shared" si="30"/>
        <v/>
      </c>
      <c r="AA68" s="5">
        <f t="shared" si="31"/>
        <v>21690.339999999997</v>
      </c>
      <c r="AB68" s="5">
        <f t="shared" si="32"/>
        <v>17500</v>
      </c>
      <c r="AC68" s="34">
        <f t="shared" si="12"/>
        <v>16000</v>
      </c>
      <c r="AD68" s="5">
        <f t="shared" si="33"/>
        <v>4190.3399999999965</v>
      </c>
      <c r="AE68" s="6">
        <f t="shared" si="34"/>
        <v>1.2394479999999999</v>
      </c>
      <c r="AF68" s="47">
        <f t="shared" si="15"/>
        <v>-1500</v>
      </c>
    </row>
    <row r="69" spans="1:32" x14ac:dyDescent="0.25">
      <c r="A69" s="3" t="s">
        <v>72</v>
      </c>
      <c r="B69" s="4"/>
      <c r="C69" s="5">
        <f>1500</f>
        <v>1500</v>
      </c>
      <c r="D69" s="37">
        <v>1500</v>
      </c>
      <c r="E69" s="5">
        <f t="shared" si="21"/>
        <v>-1500</v>
      </c>
      <c r="F69" s="6">
        <f t="shared" si="22"/>
        <v>0</v>
      </c>
      <c r="G69" s="5">
        <f>536.39</f>
        <v>536.39</v>
      </c>
      <c r="H69" s="5">
        <f>5000</f>
        <v>5000</v>
      </c>
      <c r="I69" s="37">
        <v>5000</v>
      </c>
      <c r="J69" s="5">
        <f t="shared" si="23"/>
        <v>-4463.6099999999997</v>
      </c>
      <c r="K69" s="6">
        <f t="shared" si="24"/>
        <v>0.107278</v>
      </c>
      <c r="L69" s="5">
        <f>804.65</f>
        <v>804.65</v>
      </c>
      <c r="M69" s="5">
        <f>7500</f>
        <v>7500</v>
      </c>
      <c r="N69" s="37">
        <v>5000</v>
      </c>
      <c r="O69" s="5">
        <f t="shared" si="25"/>
        <v>-6695.35</v>
      </c>
      <c r="P69" s="6">
        <f t="shared" si="26"/>
        <v>0.10728666666666667</v>
      </c>
      <c r="Q69" s="59"/>
      <c r="R69" s="59"/>
      <c r="S69" s="61"/>
      <c r="T69" s="62">
        <f t="shared" si="27"/>
        <v>0</v>
      </c>
      <c r="U69" s="63" t="str">
        <f t="shared" si="28"/>
        <v/>
      </c>
      <c r="V69" s="59"/>
      <c r="W69" s="59"/>
      <c r="X69" s="61"/>
      <c r="Y69" s="62">
        <f t="shared" si="29"/>
        <v>0</v>
      </c>
      <c r="Z69" s="63" t="str">
        <f t="shared" si="30"/>
        <v/>
      </c>
      <c r="AA69" s="5">
        <f t="shared" si="31"/>
        <v>1341.04</v>
      </c>
      <c r="AB69" s="5">
        <f t="shared" si="32"/>
        <v>14000</v>
      </c>
      <c r="AC69" s="34">
        <f t="shared" si="12"/>
        <v>11500</v>
      </c>
      <c r="AD69" s="5">
        <f t="shared" si="33"/>
        <v>-12658.96</v>
      </c>
      <c r="AE69" s="6">
        <f t="shared" si="34"/>
        <v>9.5788571428571431E-2</v>
      </c>
      <c r="AF69" s="47">
        <f t="shared" si="15"/>
        <v>-2500</v>
      </c>
    </row>
    <row r="70" spans="1:32" x14ac:dyDescent="0.25">
      <c r="A70" s="3" t="s">
        <v>73</v>
      </c>
      <c r="B70" s="4"/>
      <c r="C70" s="4"/>
      <c r="D70" s="34"/>
      <c r="E70" s="5">
        <f t="shared" si="21"/>
        <v>0</v>
      </c>
      <c r="F70" s="6" t="str">
        <f t="shared" si="22"/>
        <v/>
      </c>
      <c r="G70" s="4"/>
      <c r="H70" s="4"/>
      <c r="I70" s="34"/>
      <c r="J70" s="5">
        <f t="shared" si="23"/>
        <v>0</v>
      </c>
      <c r="K70" s="6" t="str">
        <f t="shared" si="24"/>
        <v/>
      </c>
      <c r="L70" s="5">
        <f>94463.29</f>
        <v>94463.29</v>
      </c>
      <c r="M70" s="5">
        <f>112000</f>
        <v>112000</v>
      </c>
      <c r="N70" s="37">
        <v>120000</v>
      </c>
      <c r="O70" s="5">
        <f t="shared" si="25"/>
        <v>-17536.710000000006</v>
      </c>
      <c r="P70" s="6">
        <f t="shared" si="26"/>
        <v>0.84342223214285705</v>
      </c>
      <c r="Q70" s="59"/>
      <c r="R70" s="59"/>
      <c r="S70" s="61"/>
      <c r="T70" s="62">
        <f t="shared" si="27"/>
        <v>0</v>
      </c>
      <c r="U70" s="63" t="str">
        <f t="shared" si="28"/>
        <v/>
      </c>
      <c r="V70" s="59"/>
      <c r="W70" s="59"/>
      <c r="X70" s="61"/>
      <c r="Y70" s="62">
        <f t="shared" si="29"/>
        <v>0</v>
      </c>
      <c r="Z70" s="63" t="str">
        <f t="shared" si="30"/>
        <v/>
      </c>
      <c r="AA70" s="5">
        <f t="shared" si="31"/>
        <v>94463.29</v>
      </c>
      <c r="AB70" s="5">
        <f t="shared" si="32"/>
        <v>112000</v>
      </c>
      <c r="AC70" s="34">
        <f t="shared" si="12"/>
        <v>120000</v>
      </c>
      <c r="AD70" s="5">
        <f t="shared" si="33"/>
        <v>-17536.710000000006</v>
      </c>
      <c r="AE70" s="6">
        <f t="shared" si="34"/>
        <v>0.84342223214285705</v>
      </c>
      <c r="AF70" s="47">
        <f t="shared" si="15"/>
        <v>8000</v>
      </c>
    </row>
    <row r="71" spans="1:32" x14ac:dyDescent="0.25">
      <c r="A71" s="3" t="s">
        <v>74</v>
      </c>
      <c r="B71" s="5">
        <f>89.5</f>
        <v>89.5</v>
      </c>
      <c r="C71" s="5">
        <f>10000</f>
        <v>10000</v>
      </c>
      <c r="D71" s="37">
        <v>10000</v>
      </c>
      <c r="E71" s="5">
        <f t="shared" si="21"/>
        <v>-9910.5</v>
      </c>
      <c r="F71" s="6">
        <f t="shared" si="22"/>
        <v>8.9499999999999996E-3</v>
      </c>
      <c r="G71" s="5">
        <f>5617.56</f>
        <v>5617.56</v>
      </c>
      <c r="H71" s="5">
        <f>5000</f>
        <v>5000</v>
      </c>
      <c r="I71" s="37">
        <v>5000</v>
      </c>
      <c r="J71" s="5">
        <f t="shared" si="23"/>
        <v>617.5600000000004</v>
      </c>
      <c r="K71" s="6">
        <f t="shared" si="24"/>
        <v>1.1235120000000001</v>
      </c>
      <c r="L71" s="5">
        <f>22801.92</f>
        <v>22801.919999999998</v>
      </c>
      <c r="M71" s="5">
        <f>20500</f>
        <v>20500</v>
      </c>
      <c r="N71" s="37">
        <v>25000</v>
      </c>
      <c r="O71" s="5">
        <f t="shared" si="25"/>
        <v>2301.9199999999983</v>
      </c>
      <c r="P71" s="6">
        <f t="shared" si="26"/>
        <v>1.1122887804878048</v>
      </c>
      <c r="Q71" s="59"/>
      <c r="R71" s="62">
        <f>12500</f>
        <v>12500</v>
      </c>
      <c r="S71" s="69"/>
      <c r="T71" s="62">
        <f t="shared" si="27"/>
        <v>-12500</v>
      </c>
      <c r="U71" s="63">
        <f t="shared" si="28"/>
        <v>0</v>
      </c>
      <c r="V71" s="59"/>
      <c r="W71" s="59"/>
      <c r="X71" s="61"/>
      <c r="Y71" s="62">
        <f t="shared" si="29"/>
        <v>0</v>
      </c>
      <c r="Z71" s="63" t="str">
        <f t="shared" si="30"/>
        <v/>
      </c>
      <c r="AA71" s="5">
        <f t="shared" si="31"/>
        <v>28508.98</v>
      </c>
      <c r="AB71" s="5">
        <f t="shared" si="32"/>
        <v>48000</v>
      </c>
      <c r="AC71" s="34">
        <f>SUM(D71,I71,N71,S71,X71)</f>
        <v>40000</v>
      </c>
      <c r="AD71" s="5">
        <f t="shared" si="33"/>
        <v>-19491.02</v>
      </c>
      <c r="AE71" s="6">
        <f t="shared" si="34"/>
        <v>0.59393708333333328</v>
      </c>
      <c r="AF71" s="47">
        <f t="shared" si="15"/>
        <v>-8000</v>
      </c>
    </row>
    <row r="72" spans="1:32" x14ac:dyDescent="0.25">
      <c r="A72" s="3" t="s">
        <v>75</v>
      </c>
      <c r="B72" s="5">
        <f>93.48</f>
        <v>93.48</v>
      </c>
      <c r="C72" s="4"/>
      <c r="D72" s="34"/>
      <c r="E72" s="5">
        <f t="shared" si="21"/>
        <v>93.48</v>
      </c>
      <c r="F72" s="6" t="str">
        <f t="shared" si="22"/>
        <v/>
      </c>
      <c r="G72" s="5">
        <f>61.33</f>
        <v>61.33</v>
      </c>
      <c r="H72" s="4"/>
      <c r="I72" s="34"/>
      <c r="J72" s="5">
        <f t="shared" si="23"/>
        <v>61.33</v>
      </c>
      <c r="K72" s="6" t="str">
        <f t="shared" si="24"/>
        <v/>
      </c>
      <c r="L72" s="5">
        <f>22207.34</f>
        <v>22207.34</v>
      </c>
      <c r="M72" s="5">
        <f>23500</f>
        <v>23500</v>
      </c>
      <c r="N72" s="37">
        <v>24000</v>
      </c>
      <c r="O72" s="5">
        <f t="shared" si="25"/>
        <v>-1292.6599999999999</v>
      </c>
      <c r="P72" s="6">
        <f t="shared" si="26"/>
        <v>0.94499319148936167</v>
      </c>
      <c r="Q72" s="59"/>
      <c r="R72" s="59"/>
      <c r="S72" s="61"/>
      <c r="T72" s="62">
        <f t="shared" si="27"/>
        <v>0</v>
      </c>
      <c r="U72" s="63" t="str">
        <f t="shared" si="28"/>
        <v/>
      </c>
      <c r="V72" s="59"/>
      <c r="W72" s="59"/>
      <c r="X72" s="61"/>
      <c r="Y72" s="62">
        <f t="shared" si="29"/>
        <v>0</v>
      </c>
      <c r="Z72" s="63" t="str">
        <f t="shared" si="30"/>
        <v/>
      </c>
      <c r="AA72" s="5">
        <f t="shared" si="31"/>
        <v>22362.15</v>
      </c>
      <c r="AB72" s="5">
        <f t="shared" si="32"/>
        <v>23500</v>
      </c>
      <c r="AC72" s="34">
        <f>SUM(D72,I72,N72,S72,X72)</f>
        <v>24000</v>
      </c>
      <c r="AD72" s="5">
        <f t="shared" si="33"/>
        <v>-1137.8499999999985</v>
      </c>
      <c r="AE72" s="6">
        <f t="shared" si="34"/>
        <v>0.95158085106382984</v>
      </c>
      <c r="AF72" s="47">
        <f t="shared" ref="AF72:AF135" si="35">AC72-AB72</f>
        <v>500</v>
      </c>
    </row>
    <row r="73" spans="1:32" x14ac:dyDescent="0.25">
      <c r="A73" s="3" t="s">
        <v>76</v>
      </c>
      <c r="B73" s="5">
        <f>186.77</f>
        <v>186.77</v>
      </c>
      <c r="C73" s="5">
        <f>2500</f>
        <v>2500</v>
      </c>
      <c r="D73" s="37">
        <v>4500</v>
      </c>
      <c r="E73" s="5">
        <f t="shared" si="21"/>
        <v>-2313.23</v>
      </c>
      <c r="F73" s="6">
        <f t="shared" si="22"/>
        <v>7.4708000000000011E-2</v>
      </c>
      <c r="G73" s="5">
        <f>1054.21</f>
        <v>1054.21</v>
      </c>
      <c r="H73" s="5">
        <f>3300</f>
        <v>3300</v>
      </c>
      <c r="I73" s="37">
        <v>3000</v>
      </c>
      <c r="J73" s="5">
        <f t="shared" si="23"/>
        <v>-2245.79</v>
      </c>
      <c r="K73" s="6">
        <f t="shared" si="24"/>
        <v>0.31945757575757577</v>
      </c>
      <c r="L73" s="5">
        <f>14261.34</f>
        <v>14261.34</v>
      </c>
      <c r="M73" s="5">
        <f>7500</f>
        <v>7500</v>
      </c>
      <c r="N73" s="37">
        <v>17500</v>
      </c>
      <c r="O73" s="5">
        <f t="shared" si="25"/>
        <v>6761.34</v>
      </c>
      <c r="P73" s="6">
        <f t="shared" si="26"/>
        <v>1.9015120000000001</v>
      </c>
      <c r="Q73" s="62">
        <f>1814.21</f>
        <v>1814.21</v>
      </c>
      <c r="R73" s="62">
        <f>2500</f>
        <v>2500</v>
      </c>
      <c r="S73" s="69"/>
      <c r="T73" s="62">
        <f t="shared" si="27"/>
        <v>-685.79</v>
      </c>
      <c r="U73" s="63">
        <f t="shared" si="28"/>
        <v>0.725684</v>
      </c>
      <c r="V73" s="59"/>
      <c r="W73" s="59"/>
      <c r="X73" s="61"/>
      <c r="Y73" s="62">
        <f t="shared" si="29"/>
        <v>0</v>
      </c>
      <c r="Z73" s="63" t="str">
        <f t="shared" si="30"/>
        <v/>
      </c>
      <c r="AA73" s="5">
        <f t="shared" si="31"/>
        <v>17316.53</v>
      </c>
      <c r="AB73" s="5">
        <f t="shared" si="32"/>
        <v>15800</v>
      </c>
      <c r="AC73" s="34">
        <f t="shared" ref="AC73:AC135" si="36">SUM(D73,I73,N73,S73,X73)</f>
        <v>25000</v>
      </c>
      <c r="AD73" s="5">
        <f t="shared" si="33"/>
        <v>1516.5299999999988</v>
      </c>
      <c r="AE73" s="6">
        <f t="shared" si="34"/>
        <v>1.0959829113924049</v>
      </c>
      <c r="AF73" s="47">
        <f t="shared" si="35"/>
        <v>9200</v>
      </c>
    </row>
    <row r="74" spans="1:32" x14ac:dyDescent="0.25">
      <c r="A74" s="3" t="s">
        <v>77</v>
      </c>
      <c r="B74" s="4"/>
      <c r="C74" s="4"/>
      <c r="D74" s="34"/>
      <c r="E74" s="5">
        <f t="shared" si="21"/>
        <v>0</v>
      </c>
      <c r="F74" s="6" t="str">
        <f t="shared" si="22"/>
        <v/>
      </c>
      <c r="G74" s="4"/>
      <c r="H74" s="4"/>
      <c r="I74" s="34"/>
      <c r="J74" s="5">
        <f t="shared" si="23"/>
        <v>0</v>
      </c>
      <c r="K74" s="6" t="str">
        <f t="shared" si="24"/>
        <v/>
      </c>
      <c r="L74" s="4"/>
      <c r="M74" s="4"/>
      <c r="N74" s="34"/>
      <c r="O74" s="5">
        <f t="shared" si="25"/>
        <v>0</v>
      </c>
      <c r="P74" s="6" t="str">
        <f t="shared" si="26"/>
        <v/>
      </c>
      <c r="Q74" s="59"/>
      <c r="R74" s="59"/>
      <c r="S74" s="61"/>
      <c r="T74" s="62">
        <f t="shared" si="27"/>
        <v>0</v>
      </c>
      <c r="U74" s="63" t="str">
        <f t="shared" si="28"/>
        <v/>
      </c>
      <c r="V74" s="59"/>
      <c r="W74" s="59"/>
      <c r="X74" s="61"/>
      <c r="Y74" s="62">
        <f t="shared" si="29"/>
        <v>0</v>
      </c>
      <c r="Z74" s="63" t="str">
        <f t="shared" si="30"/>
        <v/>
      </c>
      <c r="AA74" s="5">
        <f t="shared" si="31"/>
        <v>0</v>
      </c>
      <c r="AB74" s="5">
        <f t="shared" si="32"/>
        <v>0</v>
      </c>
      <c r="AC74" s="34">
        <f t="shared" si="36"/>
        <v>0</v>
      </c>
      <c r="AD74" s="5">
        <f t="shared" si="33"/>
        <v>0</v>
      </c>
      <c r="AE74" s="6" t="str">
        <f t="shared" si="34"/>
        <v/>
      </c>
      <c r="AF74" s="47">
        <f t="shared" si="35"/>
        <v>0</v>
      </c>
    </row>
    <row r="75" spans="1:32" x14ac:dyDescent="0.25">
      <c r="A75" s="3" t="s">
        <v>78</v>
      </c>
      <c r="B75" s="4"/>
      <c r="C75" s="4"/>
      <c r="D75" s="34"/>
      <c r="E75" s="5">
        <f t="shared" si="21"/>
        <v>0</v>
      </c>
      <c r="F75" s="6" t="str">
        <f t="shared" si="22"/>
        <v/>
      </c>
      <c r="G75" s="4"/>
      <c r="H75" s="4"/>
      <c r="I75" s="34"/>
      <c r="J75" s="5">
        <f t="shared" si="23"/>
        <v>0</v>
      </c>
      <c r="K75" s="6" t="str">
        <f t="shared" si="24"/>
        <v/>
      </c>
      <c r="L75" s="5">
        <f>1674.67</f>
        <v>1674.67</v>
      </c>
      <c r="M75" s="5">
        <f>6500</f>
        <v>6500</v>
      </c>
      <c r="N75" s="37">
        <v>10000</v>
      </c>
      <c r="O75" s="5">
        <f t="shared" si="25"/>
        <v>-4825.33</v>
      </c>
      <c r="P75" s="6">
        <f t="shared" si="26"/>
        <v>0.25764153846153848</v>
      </c>
      <c r="Q75" s="59"/>
      <c r="R75" s="59"/>
      <c r="S75" s="61"/>
      <c r="T75" s="62">
        <f t="shared" si="27"/>
        <v>0</v>
      </c>
      <c r="U75" s="63" t="str">
        <f t="shared" si="28"/>
        <v/>
      </c>
      <c r="V75" s="59"/>
      <c r="W75" s="59"/>
      <c r="X75" s="61"/>
      <c r="Y75" s="62">
        <f t="shared" si="29"/>
        <v>0</v>
      </c>
      <c r="Z75" s="63" t="str">
        <f t="shared" si="30"/>
        <v/>
      </c>
      <c r="AA75" s="5">
        <f t="shared" si="31"/>
        <v>1674.67</v>
      </c>
      <c r="AB75" s="5">
        <f t="shared" si="32"/>
        <v>6500</v>
      </c>
      <c r="AC75" s="34">
        <f t="shared" si="36"/>
        <v>10000</v>
      </c>
      <c r="AD75" s="5">
        <f t="shared" si="33"/>
        <v>-4825.33</v>
      </c>
      <c r="AE75" s="6">
        <f t="shared" si="34"/>
        <v>0.25764153846153848</v>
      </c>
      <c r="AF75" s="47">
        <f t="shared" si="35"/>
        <v>3500</v>
      </c>
    </row>
    <row r="76" spans="1:32" ht="15.75" thickBot="1" x14ac:dyDescent="0.3">
      <c r="A76" s="14" t="s">
        <v>79</v>
      </c>
      <c r="B76" s="4"/>
      <c r="C76" s="5">
        <f>20000</f>
        <v>20000</v>
      </c>
      <c r="D76" s="39">
        <v>27000</v>
      </c>
      <c r="E76" s="5">
        <f t="shared" si="21"/>
        <v>-20000</v>
      </c>
      <c r="F76" s="6">
        <f t="shared" si="22"/>
        <v>0</v>
      </c>
      <c r="G76" s="4"/>
      <c r="H76" s="5">
        <f>12000</f>
        <v>12000</v>
      </c>
      <c r="I76" s="39">
        <v>18000</v>
      </c>
      <c r="J76" s="5">
        <f t="shared" si="23"/>
        <v>-12000</v>
      </c>
      <c r="K76" s="6">
        <f t="shared" si="24"/>
        <v>0</v>
      </c>
      <c r="L76" s="5">
        <f>44817.47</f>
        <v>44817.47</v>
      </c>
      <c r="M76" s="5">
        <f>35000</f>
        <v>35000</v>
      </c>
      <c r="N76" s="39">
        <v>108000</v>
      </c>
      <c r="O76" s="5">
        <f t="shared" si="25"/>
        <v>9817.4700000000012</v>
      </c>
      <c r="P76" s="6">
        <f t="shared" si="26"/>
        <v>1.2804991428571428</v>
      </c>
      <c r="Q76" s="62">
        <f>696.13</f>
        <v>696.13</v>
      </c>
      <c r="R76" s="59"/>
      <c r="S76" s="64"/>
      <c r="T76" s="62">
        <f t="shared" si="27"/>
        <v>696.13</v>
      </c>
      <c r="U76" s="63" t="str">
        <f t="shared" si="28"/>
        <v/>
      </c>
      <c r="V76" s="62">
        <f>-6467.4</f>
        <v>-6467.4</v>
      </c>
      <c r="W76" s="59"/>
      <c r="X76" s="64"/>
      <c r="Y76" s="62">
        <f t="shared" si="29"/>
        <v>-6467.4</v>
      </c>
      <c r="Z76" s="63" t="str">
        <f t="shared" si="30"/>
        <v/>
      </c>
      <c r="AA76" s="5">
        <f t="shared" si="31"/>
        <v>39046.199999999997</v>
      </c>
      <c r="AB76" s="5">
        <f t="shared" si="32"/>
        <v>67000</v>
      </c>
      <c r="AC76" s="35">
        <f t="shared" si="36"/>
        <v>153000</v>
      </c>
      <c r="AD76" s="5">
        <f t="shared" si="33"/>
        <v>-27953.800000000003</v>
      </c>
      <c r="AE76" s="6">
        <f t="shared" si="34"/>
        <v>0.58277910447761194</v>
      </c>
      <c r="AF76" s="48">
        <f t="shared" si="35"/>
        <v>86000</v>
      </c>
    </row>
    <row r="77" spans="1:32" ht="16.5" thickTop="1" thickBot="1" x14ac:dyDescent="0.3">
      <c r="A77" s="3" t="s">
        <v>80</v>
      </c>
      <c r="B77" s="19">
        <f>((B74)+(B75))+(B76)</f>
        <v>0</v>
      </c>
      <c r="C77" s="20">
        <f>((C74)+(C75))+(C76)</f>
        <v>20000</v>
      </c>
      <c r="D77" s="38">
        <f>((D74)+(D75))+(D76)</f>
        <v>27000</v>
      </c>
      <c r="E77" s="20">
        <f t="shared" si="21"/>
        <v>-20000</v>
      </c>
      <c r="F77" s="21">
        <f t="shared" si="22"/>
        <v>0</v>
      </c>
      <c r="G77" s="20">
        <f>((G74)+(G75))+(G76)</f>
        <v>0</v>
      </c>
      <c r="H77" s="20">
        <f>((H74)+(H75))+(H76)</f>
        <v>12000</v>
      </c>
      <c r="I77" s="38">
        <f>((I74)+(I75))+(I76)</f>
        <v>18000</v>
      </c>
      <c r="J77" s="20">
        <f t="shared" si="23"/>
        <v>-12000</v>
      </c>
      <c r="K77" s="21">
        <f t="shared" si="24"/>
        <v>0</v>
      </c>
      <c r="L77" s="20">
        <f>((L74)+(L75))+(L76)</f>
        <v>46492.14</v>
      </c>
      <c r="M77" s="20">
        <f>((M74)+(M75))+(M76)</f>
        <v>41500</v>
      </c>
      <c r="N77" s="38">
        <f>((N74)+(N75))+(N76)</f>
        <v>118000</v>
      </c>
      <c r="O77" s="20">
        <f t="shared" si="25"/>
        <v>4992.1399999999994</v>
      </c>
      <c r="P77" s="21">
        <f t="shared" si="26"/>
        <v>1.120292530120482</v>
      </c>
      <c r="Q77" s="67">
        <f>((Q74)+(Q75))+(Q76)</f>
        <v>696.13</v>
      </c>
      <c r="R77" s="67">
        <f>((R74)+(R75))+(R76)</f>
        <v>0</v>
      </c>
      <c r="S77" s="67">
        <f t="shared" ref="S77:U77" si="37">((S74)+(S75))+(S76)</f>
        <v>0</v>
      </c>
      <c r="T77" s="67">
        <f t="shared" si="37"/>
        <v>696.13</v>
      </c>
      <c r="U77" s="67" t="e">
        <f t="shared" si="37"/>
        <v>#VALUE!</v>
      </c>
      <c r="V77" s="67">
        <f>((V74)+(V75))+(V76)</f>
        <v>-6467.4</v>
      </c>
      <c r="W77" s="67">
        <f>((W74)+(W75))+(W76)</f>
        <v>0</v>
      </c>
      <c r="X77" s="67">
        <f>((X74)+(X75))+(X76)</f>
        <v>0</v>
      </c>
      <c r="Y77" s="67">
        <f t="shared" si="29"/>
        <v>-6467.4</v>
      </c>
      <c r="Z77" s="68" t="str">
        <f t="shared" si="30"/>
        <v/>
      </c>
      <c r="AA77" s="20">
        <f t="shared" si="31"/>
        <v>40720.869999999995</v>
      </c>
      <c r="AB77" s="20">
        <f t="shared" si="32"/>
        <v>73500</v>
      </c>
      <c r="AC77" s="38">
        <f>((((D77)+(I77))+(N77))+(S77))+(X77)</f>
        <v>163000</v>
      </c>
      <c r="AD77" s="20">
        <f t="shared" si="33"/>
        <v>-32779.130000000005</v>
      </c>
      <c r="AE77" s="21">
        <f t="shared" si="34"/>
        <v>0.55402544217687066</v>
      </c>
      <c r="AF77" s="50">
        <f t="shared" si="35"/>
        <v>89500</v>
      </c>
    </row>
    <row r="78" spans="1:32" ht="15.75" thickTop="1" x14ac:dyDescent="0.25">
      <c r="A78" s="3" t="s">
        <v>81</v>
      </c>
      <c r="B78" s="4"/>
      <c r="C78" s="4"/>
      <c r="D78" s="33"/>
      <c r="E78" s="5">
        <f t="shared" si="21"/>
        <v>0</v>
      </c>
      <c r="F78" s="6" t="str">
        <f t="shared" si="22"/>
        <v/>
      </c>
      <c r="G78" s="4"/>
      <c r="H78" s="4"/>
      <c r="I78" s="33"/>
      <c r="J78" s="5">
        <f t="shared" si="23"/>
        <v>0</v>
      </c>
      <c r="K78" s="6" t="str">
        <f t="shared" si="24"/>
        <v/>
      </c>
      <c r="L78" s="5">
        <f>80</f>
        <v>80</v>
      </c>
      <c r="M78" s="4"/>
      <c r="N78" s="33"/>
      <c r="O78" s="5">
        <f t="shared" si="25"/>
        <v>80</v>
      </c>
      <c r="P78" s="6" t="str">
        <f t="shared" si="26"/>
        <v/>
      </c>
      <c r="Q78" s="59"/>
      <c r="R78" s="59"/>
      <c r="S78" s="60"/>
      <c r="T78" s="62">
        <f t="shared" ref="T78:T109" si="38">(Q78)-(R78)</f>
        <v>0</v>
      </c>
      <c r="U78" s="63" t="str">
        <f t="shared" ref="U78:U109" si="39">IF(R78=0,"",(Q78)/(R78))</f>
        <v/>
      </c>
      <c r="V78" s="59"/>
      <c r="W78" s="59"/>
      <c r="X78" s="60"/>
      <c r="Y78" s="62">
        <f t="shared" si="29"/>
        <v>0</v>
      </c>
      <c r="Z78" s="63" t="str">
        <f t="shared" si="30"/>
        <v/>
      </c>
      <c r="AA78" s="5">
        <f t="shared" si="31"/>
        <v>80</v>
      </c>
      <c r="AB78" s="5">
        <f t="shared" si="32"/>
        <v>0</v>
      </c>
      <c r="AC78" s="33">
        <f t="shared" si="36"/>
        <v>0</v>
      </c>
      <c r="AD78" s="5">
        <f t="shared" si="33"/>
        <v>80</v>
      </c>
      <c r="AE78" s="6" t="str">
        <f t="shared" si="34"/>
        <v/>
      </c>
      <c r="AF78" s="46">
        <f t="shared" si="35"/>
        <v>0</v>
      </c>
    </row>
    <row r="79" spans="1:32" x14ac:dyDescent="0.25">
      <c r="A79" s="3" t="s">
        <v>82</v>
      </c>
      <c r="B79" s="5">
        <f>1478.59</f>
        <v>1478.59</v>
      </c>
      <c r="C79" s="5">
        <f>2000</f>
        <v>2000</v>
      </c>
      <c r="D79" s="37">
        <v>5500</v>
      </c>
      <c r="E79" s="5">
        <f t="shared" si="21"/>
        <v>-521.41000000000008</v>
      </c>
      <c r="F79" s="6">
        <f t="shared" si="22"/>
        <v>0.73929499999999992</v>
      </c>
      <c r="G79" s="5">
        <f>5432.42</f>
        <v>5432.42</v>
      </c>
      <c r="H79" s="4"/>
      <c r="I79" s="34">
        <v>7500</v>
      </c>
      <c r="J79" s="5">
        <f t="shared" si="23"/>
        <v>5432.42</v>
      </c>
      <c r="K79" s="6" t="str">
        <f t="shared" si="24"/>
        <v/>
      </c>
      <c r="L79" s="5">
        <f>1752.67</f>
        <v>1752.67</v>
      </c>
      <c r="M79" s="5">
        <f>2000</f>
        <v>2000</v>
      </c>
      <c r="N79" s="37">
        <v>2500</v>
      </c>
      <c r="O79" s="5">
        <f t="shared" si="25"/>
        <v>-247.32999999999993</v>
      </c>
      <c r="P79" s="6">
        <f t="shared" si="26"/>
        <v>0.87633500000000009</v>
      </c>
      <c r="Q79" s="62">
        <f>219.38</f>
        <v>219.38</v>
      </c>
      <c r="R79" s="62">
        <f>5000</f>
        <v>5000</v>
      </c>
      <c r="S79" s="69"/>
      <c r="T79" s="62">
        <f t="shared" si="38"/>
        <v>-4780.62</v>
      </c>
      <c r="U79" s="63">
        <f t="shared" si="39"/>
        <v>4.3875999999999998E-2</v>
      </c>
      <c r="V79" s="59"/>
      <c r="W79" s="59"/>
      <c r="X79" s="61"/>
      <c r="Y79" s="62">
        <f t="shared" si="29"/>
        <v>0</v>
      </c>
      <c r="Z79" s="63" t="str">
        <f t="shared" si="30"/>
        <v/>
      </c>
      <c r="AA79" s="5">
        <f t="shared" si="31"/>
        <v>8883.06</v>
      </c>
      <c r="AB79" s="5">
        <f t="shared" si="32"/>
        <v>9000</v>
      </c>
      <c r="AC79" s="34">
        <f t="shared" si="36"/>
        <v>15500</v>
      </c>
      <c r="AD79" s="5">
        <f t="shared" si="33"/>
        <v>-116.94000000000051</v>
      </c>
      <c r="AE79" s="6">
        <f t="shared" si="34"/>
        <v>0.98700666666666659</v>
      </c>
      <c r="AF79" s="47">
        <f t="shared" si="35"/>
        <v>6500</v>
      </c>
    </row>
    <row r="80" spans="1:32" x14ac:dyDescent="0.25">
      <c r="A80" s="3" t="s">
        <v>83</v>
      </c>
      <c r="B80" s="5">
        <f>3121.18</f>
        <v>3121.18</v>
      </c>
      <c r="C80" s="5">
        <f>20000</f>
        <v>20000</v>
      </c>
      <c r="D80" s="37">
        <v>36000</v>
      </c>
      <c r="E80" s="5">
        <f t="shared" si="21"/>
        <v>-16878.82</v>
      </c>
      <c r="F80" s="6">
        <f t="shared" si="22"/>
        <v>0.156059</v>
      </c>
      <c r="G80" s="4"/>
      <c r="H80" s="4"/>
      <c r="I80" s="34"/>
      <c r="J80" s="5">
        <f t="shared" si="23"/>
        <v>0</v>
      </c>
      <c r="K80" s="6" t="str">
        <f t="shared" si="24"/>
        <v/>
      </c>
      <c r="L80" s="5">
        <f>2423.56</f>
        <v>2423.56</v>
      </c>
      <c r="M80" s="5">
        <f>5000</f>
        <v>5000</v>
      </c>
      <c r="N80" s="37">
        <v>6000</v>
      </c>
      <c r="O80" s="5">
        <f t="shared" si="25"/>
        <v>-2576.44</v>
      </c>
      <c r="P80" s="6">
        <f t="shared" si="26"/>
        <v>0.48471199999999998</v>
      </c>
      <c r="Q80" s="59"/>
      <c r="R80" s="62">
        <f>2500</f>
        <v>2500</v>
      </c>
      <c r="S80" s="69"/>
      <c r="T80" s="62">
        <f t="shared" si="38"/>
        <v>-2500</v>
      </c>
      <c r="U80" s="63">
        <f t="shared" si="39"/>
        <v>0</v>
      </c>
      <c r="V80" s="59"/>
      <c r="W80" s="59"/>
      <c r="X80" s="61"/>
      <c r="Y80" s="62">
        <f t="shared" si="29"/>
        <v>0</v>
      </c>
      <c r="Z80" s="63" t="str">
        <f t="shared" si="30"/>
        <v/>
      </c>
      <c r="AA80" s="5">
        <f t="shared" si="31"/>
        <v>5544.74</v>
      </c>
      <c r="AB80" s="5">
        <f t="shared" si="32"/>
        <v>27500</v>
      </c>
      <c r="AC80" s="34">
        <f t="shared" si="36"/>
        <v>42000</v>
      </c>
      <c r="AD80" s="5">
        <f t="shared" si="33"/>
        <v>-21955.260000000002</v>
      </c>
      <c r="AE80" s="6">
        <f t="shared" si="34"/>
        <v>0.20162690909090908</v>
      </c>
      <c r="AF80" s="47">
        <f t="shared" si="35"/>
        <v>14500</v>
      </c>
    </row>
    <row r="81" spans="1:32" x14ac:dyDescent="0.25">
      <c r="A81" s="3" t="s">
        <v>84</v>
      </c>
      <c r="B81" s="5">
        <f>4800.63</f>
        <v>4800.63</v>
      </c>
      <c r="C81" s="5">
        <f>20000</f>
        <v>20000</v>
      </c>
      <c r="D81" s="37">
        <v>38000</v>
      </c>
      <c r="E81" s="5">
        <f t="shared" si="21"/>
        <v>-15199.369999999999</v>
      </c>
      <c r="F81" s="6">
        <f t="shared" si="22"/>
        <v>0.24003150000000001</v>
      </c>
      <c r="G81" s="5">
        <f>1300</f>
        <v>1300</v>
      </c>
      <c r="H81" s="5">
        <f>0</f>
        <v>0</v>
      </c>
      <c r="I81" s="37">
        <v>2500</v>
      </c>
      <c r="J81" s="5">
        <f t="shared" si="23"/>
        <v>1300</v>
      </c>
      <c r="K81" s="6" t="str">
        <f t="shared" si="24"/>
        <v/>
      </c>
      <c r="L81" s="5">
        <f>4839.58</f>
        <v>4839.58</v>
      </c>
      <c r="M81" s="5">
        <f>5000</f>
        <v>5000</v>
      </c>
      <c r="N81" s="37">
        <v>7500</v>
      </c>
      <c r="O81" s="5">
        <f t="shared" si="25"/>
        <v>-160.42000000000007</v>
      </c>
      <c r="P81" s="6">
        <f t="shared" si="26"/>
        <v>0.967916</v>
      </c>
      <c r="Q81" s="59"/>
      <c r="R81" s="62">
        <f>7500</f>
        <v>7500</v>
      </c>
      <c r="S81" s="69"/>
      <c r="T81" s="62">
        <f t="shared" si="38"/>
        <v>-7500</v>
      </c>
      <c r="U81" s="63">
        <f t="shared" si="39"/>
        <v>0</v>
      </c>
      <c r="V81" s="59"/>
      <c r="W81" s="59"/>
      <c r="X81" s="61"/>
      <c r="Y81" s="62">
        <f t="shared" si="29"/>
        <v>0</v>
      </c>
      <c r="Z81" s="63" t="str">
        <f t="shared" si="30"/>
        <v/>
      </c>
      <c r="AA81" s="5">
        <f t="shared" si="31"/>
        <v>10940.21</v>
      </c>
      <c r="AB81" s="5">
        <f t="shared" si="32"/>
        <v>32500</v>
      </c>
      <c r="AC81" s="34">
        <f t="shared" si="36"/>
        <v>48000</v>
      </c>
      <c r="AD81" s="5">
        <f t="shared" si="33"/>
        <v>-21559.79</v>
      </c>
      <c r="AE81" s="6">
        <f t="shared" si="34"/>
        <v>0.3366218461538461</v>
      </c>
      <c r="AF81" s="47">
        <f t="shared" si="35"/>
        <v>15500</v>
      </c>
    </row>
    <row r="82" spans="1:32" x14ac:dyDescent="0.25">
      <c r="A82" s="3" t="s">
        <v>85</v>
      </c>
      <c r="B82" s="4"/>
      <c r="C82" s="5">
        <f>18500</f>
        <v>18500</v>
      </c>
      <c r="D82" s="37">
        <v>42000</v>
      </c>
      <c r="E82" s="5">
        <f t="shared" si="21"/>
        <v>-18500</v>
      </c>
      <c r="F82" s="6">
        <f t="shared" si="22"/>
        <v>0</v>
      </c>
      <c r="G82" s="4"/>
      <c r="H82" s="4"/>
      <c r="I82" s="34"/>
      <c r="J82" s="5">
        <f t="shared" si="23"/>
        <v>0</v>
      </c>
      <c r="K82" s="6" t="str">
        <f t="shared" si="24"/>
        <v/>
      </c>
      <c r="L82" s="5">
        <f>18978.71</f>
        <v>18978.71</v>
      </c>
      <c r="M82" s="5">
        <f>6500</f>
        <v>6500</v>
      </c>
      <c r="N82" s="37">
        <v>10000</v>
      </c>
      <c r="O82" s="5">
        <f t="shared" si="25"/>
        <v>12478.71</v>
      </c>
      <c r="P82" s="6">
        <f t="shared" si="26"/>
        <v>2.9198015384615381</v>
      </c>
      <c r="Q82" s="59"/>
      <c r="R82" s="59"/>
      <c r="S82" s="61"/>
      <c r="T82" s="62">
        <f t="shared" si="38"/>
        <v>0</v>
      </c>
      <c r="U82" s="63" t="str">
        <f t="shared" si="39"/>
        <v/>
      </c>
      <c r="V82" s="59"/>
      <c r="W82" s="59"/>
      <c r="X82" s="61"/>
      <c r="Y82" s="62">
        <f t="shared" si="29"/>
        <v>0</v>
      </c>
      <c r="Z82" s="63" t="str">
        <f t="shared" si="30"/>
        <v/>
      </c>
      <c r="AA82" s="5">
        <f t="shared" si="31"/>
        <v>18978.71</v>
      </c>
      <c r="AB82" s="5">
        <f t="shared" si="32"/>
        <v>25000</v>
      </c>
      <c r="AC82" s="34">
        <f t="shared" si="36"/>
        <v>52000</v>
      </c>
      <c r="AD82" s="5">
        <f t="shared" si="33"/>
        <v>-6021.2900000000009</v>
      </c>
      <c r="AE82" s="6">
        <f t="shared" si="34"/>
        <v>0.75914839999999995</v>
      </c>
      <c r="AF82" s="47">
        <f t="shared" si="35"/>
        <v>27000</v>
      </c>
    </row>
    <row r="83" spans="1:32" ht="24" thickBot="1" x14ac:dyDescent="0.3">
      <c r="A83" s="14" t="s">
        <v>86</v>
      </c>
      <c r="B83" s="5">
        <f>235</f>
        <v>235</v>
      </c>
      <c r="C83" s="5">
        <f>7000</f>
        <v>7000</v>
      </c>
      <c r="D83" s="39">
        <v>5000</v>
      </c>
      <c r="E83" s="5">
        <f t="shared" si="21"/>
        <v>-6765</v>
      </c>
      <c r="F83" s="6">
        <f t="shared" si="22"/>
        <v>3.3571428571428572E-2</v>
      </c>
      <c r="G83" s="4"/>
      <c r="H83" s="4"/>
      <c r="I83" s="35"/>
      <c r="J83" s="5">
        <f t="shared" si="23"/>
        <v>0</v>
      </c>
      <c r="K83" s="6" t="str">
        <f t="shared" si="24"/>
        <v/>
      </c>
      <c r="L83" s="5">
        <f>2382.81</f>
        <v>2382.81</v>
      </c>
      <c r="M83" s="5">
        <f>5000</f>
        <v>5000</v>
      </c>
      <c r="N83" s="39">
        <v>4000</v>
      </c>
      <c r="O83" s="5">
        <f t="shared" si="25"/>
        <v>-2617.19</v>
      </c>
      <c r="P83" s="6">
        <f t="shared" si="26"/>
        <v>0.47656199999999999</v>
      </c>
      <c r="Q83" s="59"/>
      <c r="R83" s="59"/>
      <c r="S83" s="64"/>
      <c r="T83" s="62">
        <f t="shared" si="38"/>
        <v>0</v>
      </c>
      <c r="U83" s="63" t="str">
        <f t="shared" si="39"/>
        <v/>
      </c>
      <c r="V83" s="59"/>
      <c r="W83" s="59"/>
      <c r="X83" s="64"/>
      <c r="Y83" s="62">
        <f t="shared" si="29"/>
        <v>0</v>
      </c>
      <c r="Z83" s="63" t="str">
        <f t="shared" si="30"/>
        <v/>
      </c>
      <c r="AA83" s="5">
        <f t="shared" si="31"/>
        <v>2617.81</v>
      </c>
      <c r="AB83" s="5">
        <f t="shared" si="32"/>
        <v>12000</v>
      </c>
      <c r="AC83" s="35">
        <f t="shared" si="36"/>
        <v>9000</v>
      </c>
      <c r="AD83" s="5">
        <f t="shared" si="33"/>
        <v>-9382.19</v>
      </c>
      <c r="AE83" s="6">
        <f t="shared" si="34"/>
        <v>0.21815083333333332</v>
      </c>
      <c r="AF83" s="48">
        <f t="shared" si="35"/>
        <v>-3000</v>
      </c>
    </row>
    <row r="84" spans="1:32" ht="16.5" thickTop="1" thickBot="1" x14ac:dyDescent="0.3">
      <c r="A84" s="3" t="s">
        <v>87</v>
      </c>
      <c r="B84" s="19">
        <f>(((((B78)+(B79))+(B80))+(B81))+(B82))+(B83)</f>
        <v>9635.4</v>
      </c>
      <c r="C84" s="20">
        <f>(((((C78)+(C79))+(C80))+(C81))+(C82))+(C83)</f>
        <v>67500</v>
      </c>
      <c r="D84" s="38">
        <f>(((((D78)+(D79))+(D80))+(D81))+(D82))+(D83)</f>
        <v>126500</v>
      </c>
      <c r="E84" s="20">
        <f t="shared" ref="E84:E115" si="40">(B84)-(C84)</f>
        <v>-57864.6</v>
      </c>
      <c r="F84" s="21">
        <f t="shared" ref="F84:F115" si="41">IF(C84=0,"",(B84)/(C84))</f>
        <v>0.14274666666666666</v>
      </c>
      <c r="G84" s="20">
        <f>(((((G78)+(G79))+(G80))+(G81))+(G82))+(G83)</f>
        <v>6732.42</v>
      </c>
      <c r="H84" s="20">
        <f>(((((H78)+(H79))+(H80))+(H81))+(H82))+(H83)</f>
        <v>0</v>
      </c>
      <c r="I84" s="38">
        <f>(((((I78)+(I79))+(I80))+(I81))+(I82))+(I83)</f>
        <v>10000</v>
      </c>
      <c r="J84" s="20">
        <f t="shared" ref="J84:J115" si="42">(G84)-(H84)</f>
        <v>6732.42</v>
      </c>
      <c r="K84" s="21" t="str">
        <f t="shared" ref="K84:K115" si="43">IF(H84=0,"",(G84)/(H84))</f>
        <v/>
      </c>
      <c r="L84" s="20">
        <f>(((((L78)+(L79))+(L80))+(L81))+(L82))+(L83)</f>
        <v>30457.329999999998</v>
      </c>
      <c r="M84" s="20">
        <f>(((((M78)+(M79))+(M80))+(M81))+(M82))+(M83)</f>
        <v>23500</v>
      </c>
      <c r="N84" s="38">
        <f>(((((N78)+(N79))+(N80))+(N81))+(N82))+(N83)</f>
        <v>30000</v>
      </c>
      <c r="O84" s="20">
        <f t="shared" ref="O84:O115" si="44">(L84)-(M84)</f>
        <v>6957.3299999999981</v>
      </c>
      <c r="P84" s="21">
        <f t="shared" ref="P84:P115" si="45">IF(M84=0,"",(L84)/(M84))</f>
        <v>1.2960565957446808</v>
      </c>
      <c r="Q84" s="67">
        <f>(((((Q78)+(Q79))+(Q80))+(Q81))+(Q82))+(Q83)</f>
        <v>219.38</v>
      </c>
      <c r="R84" s="67">
        <f>(((((R78)+(R79))+(R80))+(R81))+(R82))+(R83)</f>
        <v>15000</v>
      </c>
      <c r="S84" s="67">
        <f>(((((S78)+(S79))+(S80))+(S81))+(S82))+(S83)</f>
        <v>0</v>
      </c>
      <c r="T84" s="67">
        <f t="shared" si="38"/>
        <v>-14780.62</v>
      </c>
      <c r="U84" s="68">
        <f t="shared" si="39"/>
        <v>1.4625333333333332E-2</v>
      </c>
      <c r="V84" s="67">
        <f>(((((V78)+(V79))+(V80))+(V81))+(V82))+(V83)</f>
        <v>0</v>
      </c>
      <c r="W84" s="67">
        <f>(((((W78)+(W79))+(W80))+(W81))+(W82))+(W83)</f>
        <v>0</v>
      </c>
      <c r="X84" s="67">
        <f>(((((X78)+(X79))+(X80))+(X81))+(X82))+(X83)</f>
        <v>0</v>
      </c>
      <c r="Y84" s="67">
        <f t="shared" ref="Y84:Y112" si="46">(V84)-(W84)</f>
        <v>0</v>
      </c>
      <c r="Z84" s="68" t="str">
        <f t="shared" ref="Z84:Z112" si="47">IF(W84=0,"",(V84)/(W84))</f>
        <v/>
      </c>
      <c r="AA84" s="20">
        <f t="shared" ref="AA84:AA115" si="48">((((B84)+(G84))+(L84))+(Q84))+(V84)</f>
        <v>47044.529999999992</v>
      </c>
      <c r="AB84" s="20">
        <f t="shared" ref="AB84:AB115" si="49">((((C84)+(H84))+(M84))+(R84))+(W84)</f>
        <v>106000</v>
      </c>
      <c r="AC84" s="38">
        <f>((((D84)+(I84))+(N84))+(S84))+(X84)</f>
        <v>166500</v>
      </c>
      <c r="AD84" s="20">
        <f t="shared" ref="AD84:AD115" si="50">(AA84)-(AB84)</f>
        <v>-58955.470000000008</v>
      </c>
      <c r="AE84" s="21">
        <f t="shared" ref="AE84:AE115" si="51">IF(AB84=0,"",(AA84)/(AB84))</f>
        <v>0.44381632075471689</v>
      </c>
      <c r="AF84" s="50">
        <f t="shared" si="35"/>
        <v>60500</v>
      </c>
    </row>
    <row r="85" spans="1:32" ht="15.75" thickTop="1" x14ac:dyDescent="0.25">
      <c r="A85" s="3" t="s">
        <v>88</v>
      </c>
      <c r="B85" s="4"/>
      <c r="C85" s="4"/>
      <c r="D85" s="33"/>
      <c r="E85" s="5">
        <f t="shared" si="40"/>
        <v>0</v>
      </c>
      <c r="F85" s="6" t="str">
        <f t="shared" si="41"/>
        <v/>
      </c>
      <c r="G85" s="4"/>
      <c r="H85" s="4"/>
      <c r="I85" s="33"/>
      <c r="J85" s="5">
        <f t="shared" si="42"/>
        <v>0</v>
      </c>
      <c r="K85" s="6" t="str">
        <f t="shared" si="43"/>
        <v/>
      </c>
      <c r="L85" s="4"/>
      <c r="M85" s="4"/>
      <c r="N85" s="33"/>
      <c r="O85" s="5">
        <f t="shared" si="44"/>
        <v>0</v>
      </c>
      <c r="P85" s="6" t="str">
        <f t="shared" si="45"/>
        <v/>
      </c>
      <c r="Q85" s="59"/>
      <c r="R85" s="59"/>
      <c r="S85" s="60"/>
      <c r="T85" s="62">
        <f t="shared" si="38"/>
        <v>0</v>
      </c>
      <c r="U85" s="63" t="str">
        <f t="shared" si="39"/>
        <v/>
      </c>
      <c r="V85" s="59"/>
      <c r="W85" s="59"/>
      <c r="X85" s="60"/>
      <c r="Y85" s="62">
        <f t="shared" si="46"/>
        <v>0</v>
      </c>
      <c r="Z85" s="63" t="str">
        <f t="shared" si="47"/>
        <v/>
      </c>
      <c r="AA85" s="5">
        <f t="shared" si="48"/>
        <v>0</v>
      </c>
      <c r="AB85" s="5">
        <f t="shared" si="49"/>
        <v>0</v>
      </c>
      <c r="AC85" s="33">
        <f t="shared" si="36"/>
        <v>0</v>
      </c>
      <c r="AD85" s="5">
        <f t="shared" si="50"/>
        <v>0</v>
      </c>
      <c r="AE85" s="6" t="str">
        <f t="shared" si="51"/>
        <v/>
      </c>
      <c r="AF85" s="46">
        <f t="shared" si="35"/>
        <v>0</v>
      </c>
    </row>
    <row r="86" spans="1:32" x14ac:dyDescent="0.25">
      <c r="A86" s="3" t="s">
        <v>89</v>
      </c>
      <c r="B86" s="4"/>
      <c r="C86" s="4"/>
      <c r="D86" s="34"/>
      <c r="E86" s="5">
        <f t="shared" si="40"/>
        <v>0</v>
      </c>
      <c r="F86" s="6" t="str">
        <f t="shared" si="41"/>
        <v/>
      </c>
      <c r="G86" s="4"/>
      <c r="H86" s="4"/>
      <c r="I86" s="34"/>
      <c r="J86" s="5">
        <f t="shared" si="42"/>
        <v>0</v>
      </c>
      <c r="K86" s="6" t="str">
        <f t="shared" si="43"/>
        <v/>
      </c>
      <c r="L86" s="5">
        <f>1233.65</f>
        <v>1233.6500000000001</v>
      </c>
      <c r="M86" s="5">
        <f>1000</f>
        <v>1000</v>
      </c>
      <c r="N86" s="37">
        <v>2500</v>
      </c>
      <c r="O86" s="5">
        <f t="shared" si="44"/>
        <v>233.65000000000009</v>
      </c>
      <c r="P86" s="6">
        <f t="shared" si="45"/>
        <v>1.2336500000000001</v>
      </c>
      <c r="Q86" s="59"/>
      <c r="R86" s="59"/>
      <c r="S86" s="61"/>
      <c r="T86" s="62">
        <f t="shared" si="38"/>
        <v>0</v>
      </c>
      <c r="U86" s="63" t="str">
        <f t="shared" si="39"/>
        <v/>
      </c>
      <c r="V86" s="59"/>
      <c r="W86" s="59"/>
      <c r="X86" s="61"/>
      <c r="Y86" s="62">
        <f t="shared" si="46"/>
        <v>0</v>
      </c>
      <c r="Z86" s="63" t="str">
        <f t="shared" si="47"/>
        <v/>
      </c>
      <c r="AA86" s="5">
        <f t="shared" si="48"/>
        <v>1233.6500000000001</v>
      </c>
      <c r="AB86" s="5">
        <f t="shared" si="49"/>
        <v>1000</v>
      </c>
      <c r="AC86" s="34">
        <f>SUM(D86,I86,N86,S86,X86)</f>
        <v>2500</v>
      </c>
      <c r="AD86" s="5">
        <f t="shared" si="50"/>
        <v>233.65000000000009</v>
      </c>
      <c r="AE86" s="6">
        <f t="shared" si="51"/>
        <v>1.2336500000000001</v>
      </c>
      <c r="AF86" s="47">
        <f t="shared" si="35"/>
        <v>1500</v>
      </c>
    </row>
    <row r="87" spans="1:32" ht="15.75" thickBot="1" x14ac:dyDescent="0.3">
      <c r="A87" s="14" t="s">
        <v>90</v>
      </c>
      <c r="B87" s="4"/>
      <c r="C87" s="4"/>
      <c r="D87" s="35"/>
      <c r="E87" s="5">
        <f t="shared" si="40"/>
        <v>0</v>
      </c>
      <c r="F87" s="6" t="str">
        <f t="shared" si="41"/>
        <v/>
      </c>
      <c r="G87" s="4"/>
      <c r="H87" s="4"/>
      <c r="I87" s="35"/>
      <c r="J87" s="5">
        <f t="shared" si="42"/>
        <v>0</v>
      </c>
      <c r="K87" s="6" t="str">
        <f t="shared" si="43"/>
        <v/>
      </c>
      <c r="L87" s="5">
        <f>820415.37</f>
        <v>820415.37</v>
      </c>
      <c r="M87" s="5">
        <f>935000</f>
        <v>935000</v>
      </c>
      <c r="N87" s="39">
        <v>1095000</v>
      </c>
      <c r="O87" s="5">
        <f t="shared" si="44"/>
        <v>-114584.63</v>
      </c>
      <c r="P87" s="6">
        <f t="shared" si="45"/>
        <v>0.87744959358288765</v>
      </c>
      <c r="Q87" s="59"/>
      <c r="R87" s="59"/>
      <c r="S87" s="64"/>
      <c r="T87" s="62">
        <f t="shared" si="38"/>
        <v>0</v>
      </c>
      <c r="U87" s="63" t="str">
        <f t="shared" si="39"/>
        <v/>
      </c>
      <c r="V87" s="59"/>
      <c r="W87" s="59"/>
      <c r="X87" s="64"/>
      <c r="Y87" s="62">
        <f t="shared" si="46"/>
        <v>0</v>
      </c>
      <c r="Z87" s="63" t="str">
        <f t="shared" si="47"/>
        <v/>
      </c>
      <c r="AA87" s="5">
        <f t="shared" si="48"/>
        <v>820415.37</v>
      </c>
      <c r="AB87" s="5">
        <f t="shared" si="49"/>
        <v>935000</v>
      </c>
      <c r="AC87" s="35">
        <f>SUM(D87,I87,N87,S87,X87)</f>
        <v>1095000</v>
      </c>
      <c r="AD87" s="5">
        <f t="shared" si="50"/>
        <v>-114584.63</v>
      </c>
      <c r="AE87" s="6">
        <f t="shared" si="51"/>
        <v>0.87744959358288765</v>
      </c>
      <c r="AF87" s="48">
        <f t="shared" si="35"/>
        <v>160000</v>
      </c>
    </row>
    <row r="88" spans="1:32" ht="16.5" thickTop="1" thickBot="1" x14ac:dyDescent="0.3">
      <c r="A88" s="3" t="s">
        <v>91</v>
      </c>
      <c r="B88" s="19">
        <f>((B85)+(B86))+(B87)</f>
        <v>0</v>
      </c>
      <c r="C88" s="20">
        <f>((C85)+(C86))+(C87)</f>
        <v>0</v>
      </c>
      <c r="D88" s="38">
        <f>((D85)+(D86))+(D87)</f>
        <v>0</v>
      </c>
      <c r="E88" s="20">
        <f t="shared" si="40"/>
        <v>0</v>
      </c>
      <c r="F88" s="21" t="str">
        <f t="shared" si="41"/>
        <v/>
      </c>
      <c r="G88" s="20">
        <f>((G85)+(G86))+(G87)</f>
        <v>0</v>
      </c>
      <c r="H88" s="20">
        <f>((H85)+(H86))+(H87)</f>
        <v>0</v>
      </c>
      <c r="I88" s="38">
        <f>((I85)+(I86))+(I87)</f>
        <v>0</v>
      </c>
      <c r="J88" s="20">
        <f t="shared" si="42"/>
        <v>0</v>
      </c>
      <c r="K88" s="21" t="str">
        <f t="shared" si="43"/>
        <v/>
      </c>
      <c r="L88" s="20">
        <f>((L85)+(L86))+(L87)</f>
        <v>821649.02</v>
      </c>
      <c r="M88" s="20">
        <f>((M85)+(M86))+(M87)</f>
        <v>936000</v>
      </c>
      <c r="N88" s="38">
        <f>((N85)+(N86))+(N87)</f>
        <v>1097500</v>
      </c>
      <c r="O88" s="20">
        <f t="shared" si="44"/>
        <v>-114350.97999999998</v>
      </c>
      <c r="P88" s="21">
        <f t="shared" si="45"/>
        <v>0.8778301495726496</v>
      </c>
      <c r="Q88" s="67">
        <f>((Q85)+(Q86))+(Q87)</f>
        <v>0</v>
      </c>
      <c r="R88" s="67">
        <f>((R85)+(R86))+(R87)</f>
        <v>0</v>
      </c>
      <c r="S88" s="67">
        <f>((S85)+(S86))+(S87)</f>
        <v>0</v>
      </c>
      <c r="T88" s="67">
        <f t="shared" si="38"/>
        <v>0</v>
      </c>
      <c r="U88" s="68" t="str">
        <f t="shared" si="39"/>
        <v/>
      </c>
      <c r="V88" s="67">
        <f>((V85)+(V86))+(V87)</f>
        <v>0</v>
      </c>
      <c r="W88" s="67">
        <f>((W85)+(W86))+(W87)</f>
        <v>0</v>
      </c>
      <c r="X88" s="67">
        <f>((X85)+(X86))+(X87)</f>
        <v>0</v>
      </c>
      <c r="Y88" s="67">
        <f t="shared" si="46"/>
        <v>0</v>
      </c>
      <c r="Z88" s="68" t="str">
        <f t="shared" si="47"/>
        <v/>
      </c>
      <c r="AA88" s="20">
        <f t="shared" si="48"/>
        <v>821649.02</v>
      </c>
      <c r="AB88" s="20">
        <f t="shared" si="49"/>
        <v>936000</v>
      </c>
      <c r="AC88" s="38">
        <f>((((D88)+(I88))+(N88))+(S88))+(X88)</f>
        <v>1097500</v>
      </c>
      <c r="AD88" s="20">
        <f t="shared" si="50"/>
        <v>-114350.97999999998</v>
      </c>
      <c r="AE88" s="21">
        <f t="shared" si="51"/>
        <v>0.8778301495726496</v>
      </c>
      <c r="AF88" s="50">
        <f t="shared" si="35"/>
        <v>161500</v>
      </c>
    </row>
    <row r="89" spans="1:32" ht="15.75" thickTop="1" x14ac:dyDescent="0.25">
      <c r="A89" s="3" t="s">
        <v>92</v>
      </c>
      <c r="B89" s="4"/>
      <c r="C89" s="4"/>
      <c r="D89" s="33"/>
      <c r="E89" s="5">
        <f t="shared" si="40"/>
        <v>0</v>
      </c>
      <c r="F89" s="6" t="str">
        <f t="shared" si="41"/>
        <v/>
      </c>
      <c r="G89" s="4"/>
      <c r="H89" s="4"/>
      <c r="I89" s="33"/>
      <c r="J89" s="5">
        <f t="shared" si="42"/>
        <v>0</v>
      </c>
      <c r="K89" s="6" t="str">
        <f t="shared" si="43"/>
        <v/>
      </c>
      <c r="L89" s="4"/>
      <c r="M89" s="4"/>
      <c r="N89" s="33"/>
      <c r="O89" s="5">
        <f t="shared" si="44"/>
        <v>0</v>
      </c>
      <c r="P89" s="6" t="str">
        <f t="shared" si="45"/>
        <v/>
      </c>
      <c r="Q89" s="59"/>
      <c r="R89" s="59"/>
      <c r="S89" s="60"/>
      <c r="T89" s="62">
        <f t="shared" si="38"/>
        <v>0</v>
      </c>
      <c r="U89" s="63" t="str">
        <f t="shared" si="39"/>
        <v/>
      </c>
      <c r="V89" s="59"/>
      <c r="W89" s="59"/>
      <c r="X89" s="60"/>
      <c r="Y89" s="62">
        <f t="shared" si="46"/>
        <v>0</v>
      </c>
      <c r="Z89" s="63" t="str">
        <f t="shared" si="47"/>
        <v/>
      </c>
      <c r="AA89" s="5">
        <f t="shared" si="48"/>
        <v>0</v>
      </c>
      <c r="AB89" s="5">
        <f t="shared" si="49"/>
        <v>0</v>
      </c>
      <c r="AC89" s="33">
        <f t="shared" si="36"/>
        <v>0</v>
      </c>
      <c r="AD89" s="5">
        <f t="shared" si="50"/>
        <v>0</v>
      </c>
      <c r="AE89" s="6" t="str">
        <f t="shared" si="51"/>
        <v/>
      </c>
      <c r="AF89" s="46">
        <f t="shared" si="35"/>
        <v>0</v>
      </c>
    </row>
    <row r="90" spans="1:32" x14ac:dyDescent="0.25">
      <c r="A90" s="3" t="s">
        <v>93</v>
      </c>
      <c r="B90" s="4"/>
      <c r="C90" s="4"/>
      <c r="D90" s="34"/>
      <c r="E90" s="5">
        <f t="shared" si="40"/>
        <v>0</v>
      </c>
      <c r="F90" s="6" t="str">
        <f t="shared" si="41"/>
        <v/>
      </c>
      <c r="G90" s="4"/>
      <c r="H90" s="4"/>
      <c r="I90" s="34"/>
      <c r="J90" s="5">
        <f t="shared" si="42"/>
        <v>0</v>
      </c>
      <c r="K90" s="6" t="str">
        <f t="shared" si="43"/>
        <v/>
      </c>
      <c r="L90" s="5">
        <f>119632.14</f>
        <v>119632.14</v>
      </c>
      <c r="M90" s="5">
        <f>58000</f>
        <v>58000</v>
      </c>
      <c r="N90" s="37">
        <v>136000</v>
      </c>
      <c r="O90" s="5">
        <f t="shared" si="44"/>
        <v>61632.14</v>
      </c>
      <c r="P90" s="6">
        <f t="shared" si="45"/>
        <v>2.062623103448276</v>
      </c>
      <c r="Q90" s="59"/>
      <c r="R90" s="59"/>
      <c r="S90" s="61"/>
      <c r="T90" s="62">
        <f t="shared" si="38"/>
        <v>0</v>
      </c>
      <c r="U90" s="63" t="str">
        <f t="shared" si="39"/>
        <v/>
      </c>
      <c r="V90" s="59"/>
      <c r="W90" s="59"/>
      <c r="X90" s="61"/>
      <c r="Y90" s="62">
        <f t="shared" si="46"/>
        <v>0</v>
      </c>
      <c r="Z90" s="63" t="str">
        <f t="shared" si="47"/>
        <v/>
      </c>
      <c r="AA90" s="5">
        <f t="shared" si="48"/>
        <v>119632.14</v>
      </c>
      <c r="AB90" s="5">
        <f t="shared" si="49"/>
        <v>58000</v>
      </c>
      <c r="AC90" s="34">
        <f t="shared" si="36"/>
        <v>136000</v>
      </c>
      <c r="AD90" s="5">
        <f t="shared" si="50"/>
        <v>61632.14</v>
      </c>
      <c r="AE90" s="6">
        <f t="shared" si="51"/>
        <v>2.062623103448276</v>
      </c>
      <c r="AF90" s="47">
        <f t="shared" si="35"/>
        <v>78000</v>
      </c>
    </row>
    <row r="91" spans="1:32" x14ac:dyDescent="0.25">
      <c r="A91" s="3" t="s">
        <v>94</v>
      </c>
      <c r="B91" s="4"/>
      <c r="C91" s="4"/>
      <c r="D91" s="34"/>
      <c r="E91" s="5">
        <f t="shared" si="40"/>
        <v>0</v>
      </c>
      <c r="F91" s="6" t="str">
        <f t="shared" si="41"/>
        <v/>
      </c>
      <c r="G91" s="4"/>
      <c r="H91" s="4"/>
      <c r="I91" s="34"/>
      <c r="J91" s="5">
        <f t="shared" si="42"/>
        <v>0</v>
      </c>
      <c r="K91" s="6" t="str">
        <f t="shared" si="43"/>
        <v/>
      </c>
      <c r="L91" s="5">
        <f>3535.1</f>
        <v>3535.1</v>
      </c>
      <c r="M91" s="5">
        <f>1500</f>
        <v>1500</v>
      </c>
      <c r="N91" s="37">
        <v>4500</v>
      </c>
      <c r="O91" s="5">
        <f t="shared" si="44"/>
        <v>2035.1</v>
      </c>
      <c r="P91" s="6">
        <f t="shared" si="45"/>
        <v>2.3567333333333331</v>
      </c>
      <c r="Q91" s="59"/>
      <c r="R91" s="59"/>
      <c r="S91" s="61"/>
      <c r="T91" s="62">
        <f t="shared" si="38"/>
        <v>0</v>
      </c>
      <c r="U91" s="63" t="str">
        <f t="shared" si="39"/>
        <v/>
      </c>
      <c r="V91" s="59"/>
      <c r="W91" s="59"/>
      <c r="X91" s="61"/>
      <c r="Y91" s="62">
        <f t="shared" si="46"/>
        <v>0</v>
      </c>
      <c r="Z91" s="63" t="str">
        <f t="shared" si="47"/>
        <v/>
      </c>
      <c r="AA91" s="5">
        <f t="shared" si="48"/>
        <v>3535.1</v>
      </c>
      <c r="AB91" s="5">
        <f t="shared" si="49"/>
        <v>1500</v>
      </c>
      <c r="AC91" s="34">
        <f t="shared" si="36"/>
        <v>4500</v>
      </c>
      <c r="AD91" s="5">
        <f t="shared" si="50"/>
        <v>2035.1</v>
      </c>
      <c r="AE91" s="6">
        <f t="shared" si="51"/>
        <v>2.3567333333333331</v>
      </c>
      <c r="AF91" s="47">
        <f t="shared" si="35"/>
        <v>3000</v>
      </c>
    </row>
    <row r="92" spans="1:32" x14ac:dyDescent="0.25">
      <c r="A92" s="3" t="s">
        <v>95</v>
      </c>
      <c r="B92" s="4"/>
      <c r="C92" s="4"/>
      <c r="D92" s="34"/>
      <c r="E92" s="5">
        <f t="shared" si="40"/>
        <v>0</v>
      </c>
      <c r="F92" s="6" t="str">
        <f t="shared" si="41"/>
        <v/>
      </c>
      <c r="G92" s="4"/>
      <c r="H92" s="4"/>
      <c r="I92" s="34"/>
      <c r="J92" s="5">
        <f t="shared" si="42"/>
        <v>0</v>
      </c>
      <c r="K92" s="6" t="str">
        <f t="shared" si="43"/>
        <v/>
      </c>
      <c r="L92" s="5">
        <f>2144.56</f>
        <v>2144.56</v>
      </c>
      <c r="M92" s="5">
        <f>3000</f>
        <v>3000</v>
      </c>
      <c r="N92" s="37">
        <v>3000</v>
      </c>
      <c r="O92" s="5">
        <f t="shared" si="44"/>
        <v>-855.44</v>
      </c>
      <c r="P92" s="6">
        <f t="shared" si="45"/>
        <v>0.71485333333333334</v>
      </c>
      <c r="Q92" s="59"/>
      <c r="R92" s="59"/>
      <c r="S92" s="61"/>
      <c r="T92" s="62">
        <f t="shared" si="38"/>
        <v>0</v>
      </c>
      <c r="U92" s="63" t="str">
        <f t="shared" si="39"/>
        <v/>
      </c>
      <c r="V92" s="59"/>
      <c r="W92" s="59"/>
      <c r="X92" s="61"/>
      <c r="Y92" s="62">
        <f t="shared" si="46"/>
        <v>0</v>
      </c>
      <c r="Z92" s="63" t="str">
        <f t="shared" si="47"/>
        <v/>
      </c>
      <c r="AA92" s="5">
        <f t="shared" si="48"/>
        <v>2144.56</v>
      </c>
      <c r="AB92" s="5">
        <f t="shared" si="49"/>
        <v>3000</v>
      </c>
      <c r="AC92" s="34">
        <f t="shared" si="36"/>
        <v>3000</v>
      </c>
      <c r="AD92" s="5">
        <f t="shared" si="50"/>
        <v>-855.44</v>
      </c>
      <c r="AE92" s="6">
        <f t="shared" si="51"/>
        <v>0.71485333333333334</v>
      </c>
      <c r="AF92" s="47">
        <f t="shared" si="35"/>
        <v>0</v>
      </c>
    </row>
    <row r="93" spans="1:32" x14ac:dyDescent="0.25">
      <c r="A93" s="3" t="s">
        <v>96</v>
      </c>
      <c r="B93" s="4"/>
      <c r="C93" s="4"/>
      <c r="D93" s="34"/>
      <c r="E93" s="5">
        <f t="shared" si="40"/>
        <v>0</v>
      </c>
      <c r="F93" s="6" t="str">
        <f t="shared" si="41"/>
        <v/>
      </c>
      <c r="G93" s="4"/>
      <c r="H93" s="4"/>
      <c r="I93" s="34"/>
      <c r="J93" s="5">
        <f t="shared" si="42"/>
        <v>0</v>
      </c>
      <c r="K93" s="6" t="str">
        <f t="shared" si="43"/>
        <v/>
      </c>
      <c r="L93" s="5">
        <f>64063.33</f>
        <v>64063.33</v>
      </c>
      <c r="M93" s="5">
        <f>102500</f>
        <v>102500</v>
      </c>
      <c r="N93" s="37">
        <v>97000</v>
      </c>
      <c r="O93" s="5">
        <f t="shared" si="44"/>
        <v>-38436.67</v>
      </c>
      <c r="P93" s="6">
        <f t="shared" si="45"/>
        <v>0.62500809756097564</v>
      </c>
      <c r="Q93" s="59"/>
      <c r="R93" s="59"/>
      <c r="S93" s="61"/>
      <c r="T93" s="62">
        <f t="shared" si="38"/>
        <v>0</v>
      </c>
      <c r="U93" s="63" t="str">
        <f t="shared" si="39"/>
        <v/>
      </c>
      <c r="V93" s="59"/>
      <c r="W93" s="59"/>
      <c r="X93" s="61"/>
      <c r="Y93" s="62">
        <f t="shared" si="46"/>
        <v>0</v>
      </c>
      <c r="Z93" s="63" t="str">
        <f t="shared" si="47"/>
        <v/>
      </c>
      <c r="AA93" s="5">
        <f t="shared" si="48"/>
        <v>64063.33</v>
      </c>
      <c r="AB93" s="5">
        <f t="shared" si="49"/>
        <v>102500</v>
      </c>
      <c r="AC93" s="34">
        <f t="shared" si="36"/>
        <v>97000</v>
      </c>
      <c r="AD93" s="5">
        <f t="shared" si="50"/>
        <v>-38436.67</v>
      </c>
      <c r="AE93" s="6">
        <f t="shared" si="51"/>
        <v>0.62500809756097564</v>
      </c>
      <c r="AF93" s="47">
        <f t="shared" si="35"/>
        <v>-5500</v>
      </c>
    </row>
    <row r="94" spans="1:32" ht="23.25" x14ac:dyDescent="0.25">
      <c r="A94" s="3" t="s">
        <v>97</v>
      </c>
      <c r="B94" s="4"/>
      <c r="C94" s="4"/>
      <c r="D94" s="34"/>
      <c r="E94" s="5">
        <f t="shared" si="40"/>
        <v>0</v>
      </c>
      <c r="F94" s="6" t="str">
        <f t="shared" si="41"/>
        <v/>
      </c>
      <c r="G94" s="4"/>
      <c r="H94" s="4"/>
      <c r="I94" s="34"/>
      <c r="J94" s="5">
        <f t="shared" si="42"/>
        <v>0</v>
      </c>
      <c r="K94" s="6" t="str">
        <f t="shared" si="43"/>
        <v/>
      </c>
      <c r="L94" s="5">
        <f>13207.95</f>
        <v>13207.95</v>
      </c>
      <c r="M94" s="5">
        <f>13000</f>
        <v>13000</v>
      </c>
      <c r="N94" s="37">
        <v>16500</v>
      </c>
      <c r="O94" s="5">
        <f t="shared" si="44"/>
        <v>207.95000000000073</v>
      </c>
      <c r="P94" s="6">
        <f t="shared" si="45"/>
        <v>1.0159961538461539</v>
      </c>
      <c r="Q94" s="59"/>
      <c r="R94" s="59"/>
      <c r="S94" s="61"/>
      <c r="T94" s="62">
        <f t="shared" si="38"/>
        <v>0</v>
      </c>
      <c r="U94" s="63" t="str">
        <f t="shared" si="39"/>
        <v/>
      </c>
      <c r="V94" s="59"/>
      <c r="W94" s="59"/>
      <c r="X94" s="61"/>
      <c r="Y94" s="62">
        <f t="shared" si="46"/>
        <v>0</v>
      </c>
      <c r="Z94" s="63" t="str">
        <f t="shared" si="47"/>
        <v/>
      </c>
      <c r="AA94" s="5">
        <f t="shared" si="48"/>
        <v>13207.95</v>
      </c>
      <c r="AB94" s="5">
        <f t="shared" si="49"/>
        <v>13000</v>
      </c>
      <c r="AC94" s="34">
        <f t="shared" si="36"/>
        <v>16500</v>
      </c>
      <c r="AD94" s="5">
        <f t="shared" si="50"/>
        <v>207.95000000000073</v>
      </c>
      <c r="AE94" s="6">
        <f t="shared" si="51"/>
        <v>1.0159961538461539</v>
      </c>
      <c r="AF94" s="47">
        <f t="shared" si="35"/>
        <v>3500</v>
      </c>
    </row>
    <row r="95" spans="1:32" x14ac:dyDescent="0.25">
      <c r="A95" s="3" t="s">
        <v>98</v>
      </c>
      <c r="B95" s="5">
        <f>43.99</f>
        <v>43.99</v>
      </c>
      <c r="C95" s="4"/>
      <c r="D95" s="34">
        <v>1000</v>
      </c>
      <c r="E95" s="5">
        <f t="shared" si="40"/>
        <v>43.99</v>
      </c>
      <c r="F95" s="6" t="str">
        <f t="shared" si="41"/>
        <v/>
      </c>
      <c r="G95" s="4"/>
      <c r="H95" s="4"/>
      <c r="I95" s="34"/>
      <c r="J95" s="5">
        <f t="shared" si="42"/>
        <v>0</v>
      </c>
      <c r="K95" s="6" t="str">
        <f t="shared" si="43"/>
        <v/>
      </c>
      <c r="L95" s="5">
        <f>7292.36</f>
        <v>7292.36</v>
      </c>
      <c r="M95" s="5">
        <f>25000</f>
        <v>25000</v>
      </c>
      <c r="N95" s="37">
        <v>25000</v>
      </c>
      <c r="O95" s="5">
        <f t="shared" si="44"/>
        <v>-17707.64</v>
      </c>
      <c r="P95" s="6">
        <f t="shared" si="45"/>
        <v>0.29169439999999996</v>
      </c>
      <c r="Q95" s="59"/>
      <c r="R95" s="59"/>
      <c r="S95" s="61"/>
      <c r="T95" s="62">
        <f t="shared" si="38"/>
        <v>0</v>
      </c>
      <c r="U95" s="63" t="str">
        <f t="shared" si="39"/>
        <v/>
      </c>
      <c r="V95" s="59"/>
      <c r="W95" s="59"/>
      <c r="X95" s="61"/>
      <c r="Y95" s="62">
        <f t="shared" si="46"/>
        <v>0</v>
      </c>
      <c r="Z95" s="63" t="str">
        <f t="shared" si="47"/>
        <v/>
      </c>
      <c r="AA95" s="5">
        <f t="shared" si="48"/>
        <v>7336.3499999999995</v>
      </c>
      <c r="AB95" s="5">
        <f t="shared" si="49"/>
        <v>25000</v>
      </c>
      <c r="AC95" s="34">
        <f t="shared" si="36"/>
        <v>26000</v>
      </c>
      <c r="AD95" s="5">
        <f t="shared" si="50"/>
        <v>-17663.650000000001</v>
      </c>
      <c r="AE95" s="6">
        <f t="shared" si="51"/>
        <v>0.29345399999999999</v>
      </c>
      <c r="AF95" s="47">
        <f t="shared" si="35"/>
        <v>1000</v>
      </c>
    </row>
    <row r="96" spans="1:32" ht="23.25" x14ac:dyDescent="0.25">
      <c r="A96" s="3" t="s">
        <v>99</v>
      </c>
      <c r="B96" s="4"/>
      <c r="C96" s="4"/>
      <c r="D96" s="34"/>
      <c r="E96" s="5">
        <f t="shared" si="40"/>
        <v>0</v>
      </c>
      <c r="F96" s="6" t="str">
        <f t="shared" si="41"/>
        <v/>
      </c>
      <c r="G96" s="4"/>
      <c r="H96" s="4"/>
      <c r="I96" s="34"/>
      <c r="J96" s="5">
        <f t="shared" si="42"/>
        <v>0</v>
      </c>
      <c r="K96" s="6" t="str">
        <f t="shared" si="43"/>
        <v/>
      </c>
      <c r="L96" s="5">
        <f>4720.78</f>
        <v>4720.78</v>
      </c>
      <c r="M96" s="5">
        <f>11000</f>
        <v>11000</v>
      </c>
      <c r="N96" s="37">
        <v>12000</v>
      </c>
      <c r="O96" s="5">
        <f t="shared" si="44"/>
        <v>-6279.22</v>
      </c>
      <c r="P96" s="6">
        <f t="shared" si="45"/>
        <v>0.42916181818181814</v>
      </c>
      <c r="Q96" s="59"/>
      <c r="R96" s="59"/>
      <c r="S96" s="61"/>
      <c r="T96" s="62">
        <f t="shared" si="38"/>
        <v>0</v>
      </c>
      <c r="U96" s="63" t="str">
        <f t="shared" si="39"/>
        <v/>
      </c>
      <c r="V96" s="59"/>
      <c r="W96" s="59"/>
      <c r="X96" s="61"/>
      <c r="Y96" s="62">
        <f t="shared" si="46"/>
        <v>0</v>
      </c>
      <c r="Z96" s="63" t="str">
        <f t="shared" si="47"/>
        <v/>
      </c>
      <c r="AA96" s="5">
        <f t="shared" si="48"/>
        <v>4720.78</v>
      </c>
      <c r="AB96" s="5">
        <f t="shared" si="49"/>
        <v>11000</v>
      </c>
      <c r="AC96" s="34">
        <f t="shared" si="36"/>
        <v>12000</v>
      </c>
      <c r="AD96" s="5">
        <f t="shared" si="50"/>
        <v>-6279.22</v>
      </c>
      <c r="AE96" s="6">
        <f t="shared" si="51"/>
        <v>0.42916181818181814</v>
      </c>
      <c r="AF96" s="47">
        <f t="shared" si="35"/>
        <v>1000</v>
      </c>
    </row>
    <row r="97" spans="1:32" x14ac:dyDescent="0.25">
      <c r="A97" s="3" t="s">
        <v>100</v>
      </c>
      <c r="B97" s="4"/>
      <c r="C97" s="4"/>
      <c r="D97" s="34"/>
      <c r="E97" s="5">
        <f t="shared" si="40"/>
        <v>0</v>
      </c>
      <c r="F97" s="6" t="str">
        <f t="shared" si="41"/>
        <v/>
      </c>
      <c r="G97" s="4"/>
      <c r="H97" s="4"/>
      <c r="I97" s="34"/>
      <c r="J97" s="5">
        <f t="shared" si="42"/>
        <v>0</v>
      </c>
      <c r="K97" s="6" t="str">
        <f t="shared" si="43"/>
        <v/>
      </c>
      <c r="L97" s="4"/>
      <c r="M97" s="5">
        <f>2500</f>
        <v>2500</v>
      </c>
      <c r="N97" s="37"/>
      <c r="O97" s="5">
        <f t="shared" si="44"/>
        <v>-2500</v>
      </c>
      <c r="P97" s="6">
        <f t="shared" si="45"/>
        <v>0</v>
      </c>
      <c r="Q97" s="59"/>
      <c r="R97" s="59"/>
      <c r="S97" s="61"/>
      <c r="T97" s="62">
        <f t="shared" si="38"/>
        <v>0</v>
      </c>
      <c r="U97" s="63" t="str">
        <f t="shared" si="39"/>
        <v/>
      </c>
      <c r="V97" s="59"/>
      <c r="W97" s="59"/>
      <c r="X97" s="61"/>
      <c r="Y97" s="62">
        <f t="shared" si="46"/>
        <v>0</v>
      </c>
      <c r="Z97" s="63" t="str">
        <f t="shared" si="47"/>
        <v/>
      </c>
      <c r="AA97" s="5">
        <f t="shared" si="48"/>
        <v>0</v>
      </c>
      <c r="AB97" s="5">
        <f t="shared" si="49"/>
        <v>2500</v>
      </c>
      <c r="AC97" s="34">
        <f t="shared" si="36"/>
        <v>0</v>
      </c>
      <c r="AD97" s="5">
        <f t="shared" si="50"/>
        <v>-2500</v>
      </c>
      <c r="AE97" s="6">
        <f t="shared" si="51"/>
        <v>0</v>
      </c>
      <c r="AF97" s="47">
        <f t="shared" si="35"/>
        <v>-2500</v>
      </c>
    </row>
    <row r="98" spans="1:32" ht="15.75" thickBot="1" x14ac:dyDescent="0.3">
      <c r="A98" s="14" t="s">
        <v>101</v>
      </c>
      <c r="B98" s="4"/>
      <c r="C98" s="4"/>
      <c r="D98" s="35"/>
      <c r="E98" s="5">
        <f t="shared" si="40"/>
        <v>0</v>
      </c>
      <c r="F98" s="6" t="str">
        <f t="shared" si="41"/>
        <v/>
      </c>
      <c r="G98" s="4"/>
      <c r="H98" s="4"/>
      <c r="I98" s="35"/>
      <c r="J98" s="5">
        <f t="shared" si="42"/>
        <v>0</v>
      </c>
      <c r="K98" s="6" t="str">
        <f t="shared" si="43"/>
        <v/>
      </c>
      <c r="L98" s="5">
        <f>3103.59</f>
        <v>3103.59</v>
      </c>
      <c r="M98" s="5">
        <f>5000</f>
        <v>5000</v>
      </c>
      <c r="N98" s="39">
        <v>5000</v>
      </c>
      <c r="O98" s="5">
        <f t="shared" si="44"/>
        <v>-1896.4099999999999</v>
      </c>
      <c r="P98" s="6">
        <f t="shared" si="45"/>
        <v>0.62071799999999999</v>
      </c>
      <c r="Q98" s="59"/>
      <c r="R98" s="59"/>
      <c r="S98" s="64"/>
      <c r="T98" s="62">
        <f t="shared" si="38"/>
        <v>0</v>
      </c>
      <c r="U98" s="63" t="str">
        <f t="shared" si="39"/>
        <v/>
      </c>
      <c r="V98" s="59"/>
      <c r="W98" s="59"/>
      <c r="X98" s="64"/>
      <c r="Y98" s="62">
        <f t="shared" si="46"/>
        <v>0</v>
      </c>
      <c r="Z98" s="63" t="str">
        <f t="shared" si="47"/>
        <v/>
      </c>
      <c r="AA98" s="5">
        <f t="shared" si="48"/>
        <v>3103.59</v>
      </c>
      <c r="AB98" s="5">
        <f t="shared" si="49"/>
        <v>5000</v>
      </c>
      <c r="AC98" s="35">
        <f t="shared" si="36"/>
        <v>5000</v>
      </c>
      <c r="AD98" s="5">
        <f t="shared" si="50"/>
        <v>-1896.4099999999999</v>
      </c>
      <c r="AE98" s="6">
        <f t="shared" si="51"/>
        <v>0.62071799999999999</v>
      </c>
      <c r="AF98" s="48">
        <f t="shared" si="35"/>
        <v>0</v>
      </c>
    </row>
    <row r="99" spans="1:32" ht="16.5" thickTop="1" thickBot="1" x14ac:dyDescent="0.3">
      <c r="A99" s="3" t="s">
        <v>102</v>
      </c>
      <c r="B99" s="19">
        <f>(((((((((B89)+(B90))+(B91))+(B92))+(B93))+(B94))+(B95))+(B96))+(B97))+(B98)</f>
        <v>43.99</v>
      </c>
      <c r="C99" s="20">
        <f>(((((((((C89)+(C90))+(C91))+(C92))+(C93))+(C94))+(C95))+(C96))+(C97))+(C98)</f>
        <v>0</v>
      </c>
      <c r="D99" s="38">
        <f>(((((((((D89)+(D90))+(D91))+(D92))+(D93))+(D94))+(D95))+(D96))+(D97))+(D98)</f>
        <v>1000</v>
      </c>
      <c r="E99" s="20">
        <f t="shared" si="40"/>
        <v>43.99</v>
      </c>
      <c r="F99" s="21" t="str">
        <f t="shared" si="41"/>
        <v/>
      </c>
      <c r="G99" s="20">
        <f>(((((((((G89)+(G90))+(G91))+(G92))+(G93))+(G94))+(G95))+(G96))+(G97))+(G98)</f>
        <v>0</v>
      </c>
      <c r="H99" s="20">
        <f>(((((((((H89)+(H90))+(H91))+(H92))+(H93))+(H94))+(H95))+(H96))+(H97))+(H98)</f>
        <v>0</v>
      </c>
      <c r="I99" s="38">
        <f>(((((((((I89)+(I90))+(I91))+(I92))+(I93))+(I94))+(I95))+(I96))+(I97))+(I98)</f>
        <v>0</v>
      </c>
      <c r="J99" s="20">
        <f t="shared" si="42"/>
        <v>0</v>
      </c>
      <c r="K99" s="21" t="str">
        <f t="shared" si="43"/>
        <v/>
      </c>
      <c r="L99" s="20">
        <f>(((((((((L89)+(L90))+(L91))+(L92))+(L93))+(L94))+(L95))+(L96))+(L97))+(L98)</f>
        <v>217699.81</v>
      </c>
      <c r="M99" s="20">
        <f>(((((((((M89)+(M90))+(M91))+(M92))+(M93))+(M94))+(M95))+(M96))+(M97))+(M98)</f>
        <v>221500</v>
      </c>
      <c r="N99" s="38">
        <f>(((((((((N89)+(N90))+(N91))+(N92))+(N93))+(N94))+(N95))+(N96))+(N97))+(N98)</f>
        <v>299000</v>
      </c>
      <c r="O99" s="20">
        <f t="shared" si="44"/>
        <v>-3800.1900000000023</v>
      </c>
      <c r="P99" s="21">
        <f t="shared" si="45"/>
        <v>0.98284338600451471</v>
      </c>
      <c r="Q99" s="67">
        <f>(((((((((Q89)+(Q90))+(Q91))+(Q92))+(Q93))+(Q94))+(Q95))+(Q96))+(Q97))+(Q98)</f>
        <v>0</v>
      </c>
      <c r="R99" s="67">
        <f>(((((((((R89)+(R90))+(R91))+(R92))+(R93))+(R94))+(R95))+(R96))+(R97))+(R98)</f>
        <v>0</v>
      </c>
      <c r="S99" s="67">
        <f>(((((((((S89)+(S90))+(S91))+(S92))+(S93))+(S94))+(S95))+(S96))+(S97))+(S98)</f>
        <v>0</v>
      </c>
      <c r="T99" s="67">
        <f t="shared" si="38"/>
        <v>0</v>
      </c>
      <c r="U99" s="68" t="str">
        <f t="shared" si="39"/>
        <v/>
      </c>
      <c r="V99" s="67">
        <f>(((((((((V89)+(V90))+(V91))+(V92))+(V93))+(V94))+(V95))+(V96))+(V97))+(V98)</f>
        <v>0</v>
      </c>
      <c r="W99" s="67">
        <f>(((((((((W89)+(W90))+(W91))+(W92))+(W93))+(W94))+(W95))+(W96))+(W97))+(W98)</f>
        <v>0</v>
      </c>
      <c r="X99" s="67">
        <f>(((((((((X89)+(X90))+(X91))+(X92))+(X93))+(X94))+(X95))+(X96))+(X97))+(X98)</f>
        <v>0</v>
      </c>
      <c r="Y99" s="67">
        <f t="shared" si="46"/>
        <v>0</v>
      </c>
      <c r="Z99" s="68" t="str">
        <f t="shared" si="47"/>
        <v/>
      </c>
      <c r="AA99" s="20">
        <f t="shared" si="48"/>
        <v>217743.8</v>
      </c>
      <c r="AB99" s="20">
        <f t="shared" si="49"/>
        <v>221500</v>
      </c>
      <c r="AC99" s="38">
        <f>((((D99)+(I99))+(N99))+(S99))+(X99)</f>
        <v>300000</v>
      </c>
      <c r="AD99" s="20">
        <f t="shared" si="50"/>
        <v>-3756.2000000000116</v>
      </c>
      <c r="AE99" s="21">
        <f t="shared" si="51"/>
        <v>0.98304198645598184</v>
      </c>
      <c r="AF99" s="50">
        <f t="shared" si="35"/>
        <v>78500</v>
      </c>
    </row>
    <row r="100" spans="1:32" ht="15.75" thickTop="1" x14ac:dyDescent="0.25">
      <c r="A100" s="3" t="s">
        <v>103</v>
      </c>
      <c r="B100" s="4"/>
      <c r="C100" s="5">
        <f>8000</f>
        <v>8000</v>
      </c>
      <c r="D100" s="41"/>
      <c r="E100" s="5">
        <f t="shared" si="40"/>
        <v>-8000</v>
      </c>
      <c r="F100" s="6">
        <f t="shared" si="41"/>
        <v>0</v>
      </c>
      <c r="G100" s="4"/>
      <c r="H100" s="4"/>
      <c r="I100" s="33"/>
      <c r="J100" s="5">
        <f t="shared" si="42"/>
        <v>0</v>
      </c>
      <c r="K100" s="6" t="str">
        <f t="shared" si="43"/>
        <v/>
      </c>
      <c r="L100" s="5">
        <f>2102.98</f>
        <v>2102.98</v>
      </c>
      <c r="M100" s="4"/>
      <c r="N100" s="33"/>
      <c r="O100" s="5">
        <f t="shared" si="44"/>
        <v>2102.98</v>
      </c>
      <c r="P100" s="6" t="str">
        <f t="shared" si="45"/>
        <v/>
      </c>
      <c r="Q100" s="59"/>
      <c r="R100" s="59"/>
      <c r="S100" s="60"/>
      <c r="T100" s="62">
        <f t="shared" si="38"/>
        <v>0</v>
      </c>
      <c r="U100" s="63" t="str">
        <f t="shared" si="39"/>
        <v/>
      </c>
      <c r="V100" s="59"/>
      <c r="W100" s="59"/>
      <c r="X100" s="60"/>
      <c r="Y100" s="62">
        <f t="shared" si="46"/>
        <v>0</v>
      </c>
      <c r="Z100" s="63" t="str">
        <f t="shared" si="47"/>
        <v/>
      </c>
      <c r="AA100" s="5">
        <f t="shared" si="48"/>
        <v>2102.98</v>
      </c>
      <c r="AB100" s="5">
        <f t="shared" si="49"/>
        <v>8000</v>
      </c>
      <c r="AC100" s="33">
        <f t="shared" si="36"/>
        <v>0</v>
      </c>
      <c r="AD100" s="5">
        <f t="shared" si="50"/>
        <v>-5897.02</v>
      </c>
      <c r="AE100" s="6">
        <f t="shared" si="51"/>
        <v>0.26287250000000001</v>
      </c>
      <c r="AF100" s="46">
        <f t="shared" si="35"/>
        <v>-8000</v>
      </c>
    </row>
    <row r="101" spans="1:32" x14ac:dyDescent="0.25">
      <c r="A101" s="3" t="s">
        <v>104</v>
      </c>
      <c r="B101" s="5">
        <f>6563.04</f>
        <v>6563.04</v>
      </c>
      <c r="C101" s="4"/>
      <c r="D101" s="34">
        <v>10500</v>
      </c>
      <c r="E101" s="5">
        <f t="shared" si="40"/>
        <v>6563.04</v>
      </c>
      <c r="F101" s="6" t="str">
        <f t="shared" si="41"/>
        <v/>
      </c>
      <c r="G101" s="5">
        <f>21304.89</f>
        <v>21304.89</v>
      </c>
      <c r="H101" s="4"/>
      <c r="I101" s="34">
        <v>22000</v>
      </c>
      <c r="J101" s="5">
        <f t="shared" si="42"/>
        <v>21304.89</v>
      </c>
      <c r="K101" s="6" t="str">
        <f t="shared" si="43"/>
        <v/>
      </c>
      <c r="L101" s="5">
        <f>14969.82</f>
        <v>14969.82</v>
      </c>
      <c r="M101" s="5">
        <f>11000</f>
        <v>11000</v>
      </c>
      <c r="N101" s="37">
        <v>22500</v>
      </c>
      <c r="O101" s="5">
        <f t="shared" si="44"/>
        <v>3969.8199999999997</v>
      </c>
      <c r="P101" s="6">
        <f t="shared" si="45"/>
        <v>1.3608927272727271</v>
      </c>
      <c r="Q101" s="62">
        <f>942.47</f>
        <v>942.47</v>
      </c>
      <c r="R101" s="59"/>
      <c r="S101" s="61"/>
      <c r="T101" s="62">
        <f t="shared" si="38"/>
        <v>942.47</v>
      </c>
      <c r="U101" s="63" t="str">
        <f t="shared" si="39"/>
        <v/>
      </c>
      <c r="V101" s="59"/>
      <c r="W101" s="59"/>
      <c r="X101" s="61"/>
      <c r="Y101" s="62">
        <f t="shared" si="46"/>
        <v>0</v>
      </c>
      <c r="Z101" s="63" t="str">
        <f t="shared" si="47"/>
        <v/>
      </c>
      <c r="AA101" s="5">
        <f t="shared" si="48"/>
        <v>43780.22</v>
      </c>
      <c r="AB101" s="5">
        <f t="shared" si="49"/>
        <v>11000</v>
      </c>
      <c r="AC101" s="34">
        <f t="shared" si="36"/>
        <v>55000</v>
      </c>
      <c r="AD101" s="5">
        <f t="shared" si="50"/>
        <v>32780.22</v>
      </c>
      <c r="AE101" s="6">
        <f t="shared" si="51"/>
        <v>3.9800200000000001</v>
      </c>
      <c r="AF101" s="47">
        <f t="shared" si="35"/>
        <v>44000</v>
      </c>
    </row>
    <row r="102" spans="1:32" x14ac:dyDescent="0.25">
      <c r="A102" s="3" t="s">
        <v>105</v>
      </c>
      <c r="B102" s="5">
        <f>490.99</f>
        <v>490.99</v>
      </c>
      <c r="C102" s="4"/>
      <c r="D102" s="34">
        <v>5000</v>
      </c>
      <c r="E102" s="5">
        <f t="shared" si="40"/>
        <v>490.99</v>
      </c>
      <c r="F102" s="6" t="str">
        <f t="shared" si="41"/>
        <v/>
      </c>
      <c r="G102" s="5">
        <f>2797.04</f>
        <v>2797.04</v>
      </c>
      <c r="H102" s="4"/>
      <c r="I102" s="34">
        <v>3000</v>
      </c>
      <c r="J102" s="5">
        <f t="shared" si="42"/>
        <v>2797.04</v>
      </c>
      <c r="K102" s="6" t="str">
        <f t="shared" si="43"/>
        <v/>
      </c>
      <c r="L102" s="5">
        <f>2961.08</f>
        <v>2961.08</v>
      </c>
      <c r="M102" s="5">
        <f>4600</f>
        <v>4600</v>
      </c>
      <c r="N102" s="37">
        <v>5500</v>
      </c>
      <c r="O102" s="5">
        <f t="shared" si="44"/>
        <v>-1638.92</v>
      </c>
      <c r="P102" s="6">
        <f t="shared" si="45"/>
        <v>0.64371304347826086</v>
      </c>
      <c r="Q102" s="62">
        <f>106.25</f>
        <v>106.25</v>
      </c>
      <c r="R102" s="59"/>
      <c r="S102" s="61"/>
      <c r="T102" s="62">
        <f t="shared" si="38"/>
        <v>106.25</v>
      </c>
      <c r="U102" s="63" t="str">
        <f t="shared" si="39"/>
        <v/>
      </c>
      <c r="V102" s="59"/>
      <c r="W102" s="59"/>
      <c r="X102" s="61"/>
      <c r="Y102" s="62">
        <f t="shared" si="46"/>
        <v>0</v>
      </c>
      <c r="Z102" s="63" t="str">
        <f t="shared" si="47"/>
        <v/>
      </c>
      <c r="AA102" s="5">
        <f t="shared" si="48"/>
        <v>6355.36</v>
      </c>
      <c r="AB102" s="5">
        <f t="shared" si="49"/>
        <v>4600</v>
      </c>
      <c r="AC102" s="34">
        <f t="shared" si="36"/>
        <v>13500</v>
      </c>
      <c r="AD102" s="5">
        <f t="shared" si="50"/>
        <v>1755.3599999999997</v>
      </c>
      <c r="AE102" s="6">
        <f t="shared" si="51"/>
        <v>1.3815999999999999</v>
      </c>
      <c r="AF102" s="47">
        <f t="shared" si="35"/>
        <v>8900</v>
      </c>
    </row>
    <row r="103" spans="1:32" x14ac:dyDescent="0.25">
      <c r="A103" s="3" t="s">
        <v>106</v>
      </c>
      <c r="B103" s="5">
        <f>1370.92</f>
        <v>1370.92</v>
      </c>
      <c r="C103" s="4"/>
      <c r="D103" s="34">
        <v>2000</v>
      </c>
      <c r="E103" s="5">
        <f t="shared" si="40"/>
        <v>1370.92</v>
      </c>
      <c r="F103" s="6" t="str">
        <f t="shared" si="41"/>
        <v/>
      </c>
      <c r="G103" s="4"/>
      <c r="H103" s="4"/>
      <c r="I103" s="34"/>
      <c r="J103" s="5">
        <f t="shared" si="42"/>
        <v>0</v>
      </c>
      <c r="K103" s="6" t="str">
        <f t="shared" si="43"/>
        <v/>
      </c>
      <c r="L103" s="5">
        <f>632.46</f>
        <v>632.46</v>
      </c>
      <c r="M103" s="5">
        <f>2250</f>
        <v>2250</v>
      </c>
      <c r="N103" s="37">
        <v>1250</v>
      </c>
      <c r="O103" s="5">
        <f t="shared" si="44"/>
        <v>-1617.54</v>
      </c>
      <c r="P103" s="6">
        <f t="shared" si="45"/>
        <v>0.28109333333333336</v>
      </c>
      <c r="Q103" s="59"/>
      <c r="R103" s="59"/>
      <c r="S103" s="61"/>
      <c r="T103" s="62">
        <f t="shared" si="38"/>
        <v>0</v>
      </c>
      <c r="U103" s="63" t="str">
        <f t="shared" si="39"/>
        <v/>
      </c>
      <c r="V103" s="59"/>
      <c r="W103" s="59"/>
      <c r="X103" s="61"/>
      <c r="Y103" s="62">
        <f t="shared" si="46"/>
        <v>0</v>
      </c>
      <c r="Z103" s="63" t="str">
        <f t="shared" si="47"/>
        <v/>
      </c>
      <c r="AA103" s="5">
        <f t="shared" si="48"/>
        <v>2003.38</v>
      </c>
      <c r="AB103" s="5">
        <f t="shared" si="49"/>
        <v>2250</v>
      </c>
      <c r="AC103" s="34">
        <f t="shared" si="36"/>
        <v>3250</v>
      </c>
      <c r="AD103" s="5">
        <f t="shared" si="50"/>
        <v>-246.61999999999989</v>
      </c>
      <c r="AE103" s="6">
        <f t="shared" si="51"/>
        <v>0.89039111111111113</v>
      </c>
      <c r="AF103" s="47">
        <f t="shared" si="35"/>
        <v>1000</v>
      </c>
    </row>
    <row r="104" spans="1:32" ht="24" thickBot="1" x14ac:dyDescent="0.3">
      <c r="A104" s="14" t="s">
        <v>107</v>
      </c>
      <c r="B104" s="5">
        <f>1312.15</f>
        <v>1312.15</v>
      </c>
      <c r="C104" s="4"/>
      <c r="D104" s="35">
        <v>12000</v>
      </c>
      <c r="E104" s="5">
        <f t="shared" si="40"/>
        <v>1312.15</v>
      </c>
      <c r="F104" s="6" t="str">
        <f t="shared" si="41"/>
        <v/>
      </c>
      <c r="G104" s="5">
        <f>8931.81</f>
        <v>8931.81</v>
      </c>
      <c r="H104" s="4"/>
      <c r="I104" s="35">
        <v>11000</v>
      </c>
      <c r="J104" s="5">
        <f t="shared" si="42"/>
        <v>8931.81</v>
      </c>
      <c r="K104" s="6" t="str">
        <f t="shared" si="43"/>
        <v/>
      </c>
      <c r="L104" s="5">
        <f>12656.4</f>
        <v>12656.4</v>
      </c>
      <c r="M104" s="5">
        <f>3725</f>
        <v>3725</v>
      </c>
      <c r="N104" s="39">
        <v>21500</v>
      </c>
      <c r="O104" s="5">
        <f t="shared" si="44"/>
        <v>8931.4</v>
      </c>
      <c r="P104" s="6">
        <f t="shared" si="45"/>
        <v>3.397691275167785</v>
      </c>
      <c r="Q104" s="62">
        <f>842.51</f>
        <v>842.51</v>
      </c>
      <c r="R104" s="59"/>
      <c r="S104" s="64"/>
      <c r="T104" s="62">
        <f t="shared" si="38"/>
        <v>842.51</v>
      </c>
      <c r="U104" s="63" t="str">
        <f t="shared" si="39"/>
        <v/>
      </c>
      <c r="V104" s="59"/>
      <c r="W104" s="59"/>
      <c r="X104" s="64"/>
      <c r="Y104" s="62">
        <f t="shared" si="46"/>
        <v>0</v>
      </c>
      <c r="Z104" s="63" t="str">
        <f t="shared" si="47"/>
        <v/>
      </c>
      <c r="AA104" s="5">
        <f t="shared" si="48"/>
        <v>23742.87</v>
      </c>
      <c r="AB104" s="5">
        <f t="shared" si="49"/>
        <v>3725</v>
      </c>
      <c r="AC104" s="35">
        <f t="shared" si="36"/>
        <v>44500</v>
      </c>
      <c r="AD104" s="5">
        <f t="shared" si="50"/>
        <v>20017.87</v>
      </c>
      <c r="AE104" s="6">
        <f t="shared" si="51"/>
        <v>6.3739248322147652</v>
      </c>
      <c r="AF104" s="48">
        <f t="shared" si="35"/>
        <v>40775</v>
      </c>
    </row>
    <row r="105" spans="1:32" ht="16.5" thickTop="1" thickBot="1" x14ac:dyDescent="0.3">
      <c r="A105" s="3" t="s">
        <v>108</v>
      </c>
      <c r="B105" s="19">
        <f>((((B100)+(B101))+(B102))+(B103))+(B104)</f>
        <v>9737.1</v>
      </c>
      <c r="C105" s="20">
        <f>((((C100)+(C101))+(C102))+(C103))+(C104)</f>
        <v>8000</v>
      </c>
      <c r="D105" s="38">
        <f>((((D100)+(D101))+(D102))+(D103))+(D104)</f>
        <v>29500</v>
      </c>
      <c r="E105" s="20">
        <f t="shared" si="40"/>
        <v>1737.1000000000004</v>
      </c>
      <c r="F105" s="21">
        <f t="shared" si="41"/>
        <v>1.2171375</v>
      </c>
      <c r="G105" s="20">
        <f>((((G100)+(G101))+(G102))+(G103))+(G104)</f>
        <v>33033.74</v>
      </c>
      <c r="H105" s="20">
        <f>((((H100)+(H101))+(H102))+(H103))+(H104)</f>
        <v>0</v>
      </c>
      <c r="I105" s="38">
        <f>((((I100)+(I101))+(I102))+(I103))+(I104)</f>
        <v>36000</v>
      </c>
      <c r="J105" s="20">
        <f t="shared" si="42"/>
        <v>33033.74</v>
      </c>
      <c r="K105" s="21" t="str">
        <f t="shared" si="43"/>
        <v/>
      </c>
      <c r="L105" s="20">
        <f>((((L100)+(L101))+(L102))+(L103))+(L104)</f>
        <v>33322.74</v>
      </c>
      <c r="M105" s="20">
        <f>((((M100)+(M101))+(M102))+(M103))+(M104)</f>
        <v>21575</v>
      </c>
      <c r="N105" s="38">
        <f>((((N100)+(N101))+(N102))+(N103))+(N104)</f>
        <v>50750</v>
      </c>
      <c r="O105" s="20">
        <f t="shared" si="44"/>
        <v>11747.739999999998</v>
      </c>
      <c r="P105" s="21">
        <f t="shared" si="45"/>
        <v>1.5445070683661644</v>
      </c>
      <c r="Q105" s="67">
        <f>((((Q100)+(Q101))+(Q102))+(Q103))+(Q104)</f>
        <v>1891.23</v>
      </c>
      <c r="R105" s="67">
        <f>((((R100)+(R101))+(R102))+(R103))+(R104)</f>
        <v>0</v>
      </c>
      <c r="S105" s="67">
        <f>((((S100)+(S101))+(S102))+(S103))+(S104)</f>
        <v>0</v>
      </c>
      <c r="T105" s="67">
        <f t="shared" si="38"/>
        <v>1891.23</v>
      </c>
      <c r="U105" s="68" t="str">
        <f t="shared" si="39"/>
        <v/>
      </c>
      <c r="V105" s="67">
        <f>((((V100)+(V101))+(V102))+(V103))+(V104)</f>
        <v>0</v>
      </c>
      <c r="W105" s="67">
        <f>((((W100)+(W101))+(W102))+(W103))+(W104)</f>
        <v>0</v>
      </c>
      <c r="X105" s="67">
        <f>((((X100)+(X101))+(X102))+(X103))+(X104)</f>
        <v>0</v>
      </c>
      <c r="Y105" s="67">
        <f t="shared" si="46"/>
        <v>0</v>
      </c>
      <c r="Z105" s="68" t="str">
        <f t="shared" si="47"/>
        <v/>
      </c>
      <c r="AA105" s="20">
        <f t="shared" si="48"/>
        <v>77984.809999999983</v>
      </c>
      <c r="AB105" s="20">
        <f t="shared" si="49"/>
        <v>29575</v>
      </c>
      <c r="AC105" s="38">
        <f>((((D105)+(I105))+(N105))+(S105))+(X105)</f>
        <v>116250</v>
      </c>
      <c r="AD105" s="20">
        <f t="shared" si="50"/>
        <v>48409.809999999983</v>
      </c>
      <c r="AE105" s="21">
        <f t="shared" si="51"/>
        <v>2.6368490278951811</v>
      </c>
      <c r="AF105" s="50">
        <f t="shared" si="35"/>
        <v>86675</v>
      </c>
    </row>
    <row r="106" spans="1:32" ht="15.75" thickTop="1" x14ac:dyDescent="0.25">
      <c r="A106" s="3" t="s">
        <v>109</v>
      </c>
      <c r="B106" s="5">
        <f>1050</f>
        <v>1050</v>
      </c>
      <c r="C106" s="4"/>
      <c r="D106" s="33"/>
      <c r="E106" s="5">
        <f t="shared" si="40"/>
        <v>1050</v>
      </c>
      <c r="F106" s="6" t="str">
        <f t="shared" si="41"/>
        <v/>
      </c>
      <c r="G106" s="4"/>
      <c r="H106" s="4"/>
      <c r="I106" s="33"/>
      <c r="J106" s="5">
        <f t="shared" si="42"/>
        <v>0</v>
      </c>
      <c r="K106" s="6" t="str">
        <f t="shared" si="43"/>
        <v/>
      </c>
      <c r="L106" s="5">
        <f>2357.5</f>
        <v>2357.5</v>
      </c>
      <c r="M106" s="4"/>
      <c r="N106" s="33"/>
      <c r="O106" s="5">
        <f t="shared" si="44"/>
        <v>2357.5</v>
      </c>
      <c r="P106" s="6" t="str">
        <f t="shared" si="45"/>
        <v/>
      </c>
      <c r="Q106" s="62">
        <f>5.5</f>
        <v>5.5</v>
      </c>
      <c r="R106" s="59"/>
      <c r="S106" s="60"/>
      <c r="T106" s="62">
        <f t="shared" si="38"/>
        <v>5.5</v>
      </c>
      <c r="U106" s="63" t="str">
        <f t="shared" si="39"/>
        <v/>
      </c>
      <c r="V106" s="59"/>
      <c r="W106" s="59"/>
      <c r="X106" s="60"/>
      <c r="Y106" s="62">
        <f t="shared" si="46"/>
        <v>0</v>
      </c>
      <c r="Z106" s="63" t="str">
        <f t="shared" si="47"/>
        <v/>
      </c>
      <c r="AA106" s="5">
        <f t="shared" si="48"/>
        <v>3413</v>
      </c>
      <c r="AB106" s="5">
        <f t="shared" si="49"/>
        <v>0</v>
      </c>
      <c r="AC106" s="33">
        <f t="shared" si="36"/>
        <v>0</v>
      </c>
      <c r="AD106" s="5">
        <f t="shared" si="50"/>
        <v>3413</v>
      </c>
      <c r="AE106" s="6" t="str">
        <f t="shared" si="51"/>
        <v/>
      </c>
      <c r="AF106" s="46">
        <f t="shared" si="35"/>
        <v>0</v>
      </c>
    </row>
    <row r="107" spans="1:32" x14ac:dyDescent="0.25">
      <c r="A107" s="3" t="s">
        <v>110</v>
      </c>
      <c r="B107" s="4"/>
      <c r="C107" s="4"/>
      <c r="D107" s="34"/>
      <c r="E107" s="5">
        <f t="shared" si="40"/>
        <v>0</v>
      </c>
      <c r="F107" s="6" t="str">
        <f t="shared" si="41"/>
        <v/>
      </c>
      <c r="G107" s="4"/>
      <c r="H107" s="4"/>
      <c r="I107" s="34"/>
      <c r="J107" s="5">
        <f t="shared" si="42"/>
        <v>0</v>
      </c>
      <c r="K107" s="6" t="str">
        <f t="shared" si="43"/>
        <v/>
      </c>
      <c r="L107" s="5">
        <f>60966.63</f>
        <v>60966.63</v>
      </c>
      <c r="M107" s="5">
        <f>63000</f>
        <v>63000</v>
      </c>
      <c r="N107" s="37">
        <v>65000</v>
      </c>
      <c r="O107" s="5">
        <f t="shared" si="44"/>
        <v>-2033.3700000000026</v>
      </c>
      <c r="P107" s="6">
        <f t="shared" si="45"/>
        <v>0.9677242857142857</v>
      </c>
      <c r="Q107" s="59"/>
      <c r="R107" s="59"/>
      <c r="S107" s="61"/>
      <c r="T107" s="62">
        <f t="shared" si="38"/>
        <v>0</v>
      </c>
      <c r="U107" s="63" t="str">
        <f t="shared" si="39"/>
        <v/>
      </c>
      <c r="V107" s="59"/>
      <c r="W107" s="59"/>
      <c r="X107" s="61"/>
      <c r="Y107" s="62">
        <f t="shared" si="46"/>
        <v>0</v>
      </c>
      <c r="Z107" s="63" t="str">
        <f t="shared" si="47"/>
        <v/>
      </c>
      <c r="AA107" s="5">
        <f t="shared" si="48"/>
        <v>60966.63</v>
      </c>
      <c r="AB107" s="5">
        <f t="shared" si="49"/>
        <v>63000</v>
      </c>
      <c r="AC107" s="34">
        <f t="shared" si="36"/>
        <v>65000</v>
      </c>
      <c r="AD107" s="5">
        <f t="shared" si="50"/>
        <v>-2033.3700000000026</v>
      </c>
      <c r="AE107" s="6">
        <f t="shared" si="51"/>
        <v>0.9677242857142857</v>
      </c>
      <c r="AF107" s="47">
        <f t="shared" si="35"/>
        <v>2000</v>
      </c>
    </row>
    <row r="108" spans="1:32" x14ac:dyDescent="0.25">
      <c r="A108" s="3" t="s">
        <v>111</v>
      </c>
      <c r="B108" s="5">
        <f>11915.23</f>
        <v>11915.23</v>
      </c>
      <c r="C108" s="4"/>
      <c r="D108" s="34">
        <v>15000</v>
      </c>
      <c r="E108" s="5">
        <f t="shared" si="40"/>
        <v>11915.23</v>
      </c>
      <c r="F108" s="6" t="str">
        <f t="shared" si="41"/>
        <v/>
      </c>
      <c r="G108" s="4"/>
      <c r="H108" s="4"/>
      <c r="I108" s="34"/>
      <c r="J108" s="5">
        <f t="shared" si="42"/>
        <v>0</v>
      </c>
      <c r="K108" s="6" t="str">
        <f t="shared" si="43"/>
        <v/>
      </c>
      <c r="L108" s="5">
        <f>6242.88</f>
        <v>6242.88</v>
      </c>
      <c r="M108" s="5">
        <f>12500</f>
        <v>12500</v>
      </c>
      <c r="N108" s="37">
        <v>10000</v>
      </c>
      <c r="O108" s="5">
        <f t="shared" si="44"/>
        <v>-6257.12</v>
      </c>
      <c r="P108" s="6">
        <f t="shared" si="45"/>
        <v>0.4994304</v>
      </c>
      <c r="Q108" s="62">
        <f>597</f>
        <v>597</v>
      </c>
      <c r="R108" s="59"/>
      <c r="S108" s="61"/>
      <c r="T108" s="62">
        <f t="shared" si="38"/>
        <v>597</v>
      </c>
      <c r="U108" s="63" t="str">
        <f t="shared" si="39"/>
        <v/>
      </c>
      <c r="V108" s="59"/>
      <c r="W108" s="59"/>
      <c r="X108" s="61"/>
      <c r="Y108" s="62">
        <f t="shared" si="46"/>
        <v>0</v>
      </c>
      <c r="Z108" s="63" t="str">
        <f t="shared" si="47"/>
        <v/>
      </c>
      <c r="AA108" s="5">
        <f t="shared" si="48"/>
        <v>18755.11</v>
      </c>
      <c r="AB108" s="5">
        <f t="shared" si="49"/>
        <v>12500</v>
      </c>
      <c r="AC108" s="34">
        <f t="shared" si="36"/>
        <v>25000</v>
      </c>
      <c r="AD108" s="5">
        <f t="shared" si="50"/>
        <v>6255.1100000000006</v>
      </c>
      <c r="AE108" s="6">
        <f t="shared" si="51"/>
        <v>1.5004088</v>
      </c>
      <c r="AF108" s="47">
        <f t="shared" si="35"/>
        <v>12500</v>
      </c>
    </row>
    <row r="109" spans="1:32" x14ac:dyDescent="0.25">
      <c r="A109" s="3" t="s">
        <v>112</v>
      </c>
      <c r="B109" s="5">
        <f>38000</f>
        <v>38000</v>
      </c>
      <c r="C109" s="5">
        <f>95000</f>
        <v>95000</v>
      </c>
      <c r="D109" s="37">
        <v>52000</v>
      </c>
      <c r="E109" s="5">
        <f t="shared" si="40"/>
        <v>-57000</v>
      </c>
      <c r="F109" s="6">
        <f t="shared" si="41"/>
        <v>0.4</v>
      </c>
      <c r="G109" s="5">
        <f>27123.67</f>
        <v>27123.67</v>
      </c>
      <c r="H109" s="5">
        <f>10000</f>
        <v>10000</v>
      </c>
      <c r="I109" s="37">
        <v>30000</v>
      </c>
      <c r="J109" s="5">
        <f t="shared" si="42"/>
        <v>17123.669999999998</v>
      </c>
      <c r="K109" s="6">
        <f t="shared" si="43"/>
        <v>2.712367</v>
      </c>
      <c r="L109" s="5">
        <f>202449.69</f>
        <v>202449.69</v>
      </c>
      <c r="M109" s="5">
        <f>223000</f>
        <v>223000</v>
      </c>
      <c r="N109" s="37">
        <v>231000</v>
      </c>
      <c r="O109" s="5">
        <f t="shared" si="44"/>
        <v>-20550.309999999998</v>
      </c>
      <c r="P109" s="6">
        <f t="shared" si="45"/>
        <v>0.90784614349775783</v>
      </c>
      <c r="Q109" s="59"/>
      <c r="R109" s="62">
        <f>20000</f>
        <v>20000</v>
      </c>
      <c r="S109" s="69"/>
      <c r="T109" s="62">
        <f t="shared" si="38"/>
        <v>-20000</v>
      </c>
      <c r="U109" s="63">
        <f t="shared" si="39"/>
        <v>0</v>
      </c>
      <c r="V109" s="59"/>
      <c r="W109" s="59"/>
      <c r="X109" s="61"/>
      <c r="Y109" s="62">
        <f t="shared" si="46"/>
        <v>0</v>
      </c>
      <c r="Z109" s="63" t="str">
        <f t="shared" si="47"/>
        <v/>
      </c>
      <c r="AA109" s="5">
        <f t="shared" si="48"/>
        <v>267573.36</v>
      </c>
      <c r="AB109" s="5">
        <f t="shared" si="49"/>
        <v>348000</v>
      </c>
      <c r="AC109" s="34">
        <f t="shared" si="36"/>
        <v>313000</v>
      </c>
      <c r="AD109" s="5">
        <f t="shared" si="50"/>
        <v>-80426.640000000014</v>
      </c>
      <c r="AE109" s="6">
        <f t="shared" si="51"/>
        <v>0.76888896551724129</v>
      </c>
      <c r="AF109" s="47">
        <f t="shared" si="35"/>
        <v>-35000</v>
      </c>
    </row>
    <row r="110" spans="1:32" x14ac:dyDescent="0.25">
      <c r="A110" s="3" t="s">
        <v>113</v>
      </c>
      <c r="B110" s="4"/>
      <c r="C110" s="4"/>
      <c r="D110" s="34"/>
      <c r="E110" s="5">
        <f t="shared" si="40"/>
        <v>0</v>
      </c>
      <c r="F110" s="6" t="str">
        <f t="shared" si="41"/>
        <v/>
      </c>
      <c r="G110" s="4"/>
      <c r="H110" s="4"/>
      <c r="I110" s="34"/>
      <c r="J110" s="5">
        <f t="shared" si="42"/>
        <v>0</v>
      </c>
      <c r="K110" s="6" t="str">
        <f t="shared" si="43"/>
        <v/>
      </c>
      <c r="L110" s="5">
        <f>6422.71</f>
        <v>6422.71</v>
      </c>
      <c r="M110" s="5">
        <f>11000</f>
        <v>11000</v>
      </c>
      <c r="N110" s="37">
        <v>9500</v>
      </c>
      <c r="O110" s="5">
        <f t="shared" si="44"/>
        <v>-4577.29</v>
      </c>
      <c r="P110" s="6">
        <f t="shared" si="45"/>
        <v>0.58388272727272728</v>
      </c>
      <c r="Q110" s="59"/>
      <c r="R110" s="59"/>
      <c r="S110" s="61"/>
      <c r="T110" s="62">
        <f t="shared" ref="T110:T132" si="52">(Q110)-(R110)</f>
        <v>0</v>
      </c>
      <c r="U110" s="63" t="str">
        <f t="shared" ref="U110:U132" si="53">IF(R110=0,"",(Q110)/(R110))</f>
        <v/>
      </c>
      <c r="V110" s="59"/>
      <c r="W110" s="59"/>
      <c r="X110" s="61"/>
      <c r="Y110" s="62">
        <f t="shared" si="46"/>
        <v>0</v>
      </c>
      <c r="Z110" s="63" t="str">
        <f t="shared" si="47"/>
        <v/>
      </c>
      <c r="AA110" s="5">
        <f t="shared" si="48"/>
        <v>6422.71</v>
      </c>
      <c r="AB110" s="5">
        <f t="shared" si="49"/>
        <v>11000</v>
      </c>
      <c r="AC110" s="34">
        <f t="shared" si="36"/>
        <v>9500</v>
      </c>
      <c r="AD110" s="5">
        <f t="shared" si="50"/>
        <v>-4577.29</v>
      </c>
      <c r="AE110" s="6">
        <f t="shared" si="51"/>
        <v>0.58388272727272728</v>
      </c>
      <c r="AF110" s="47">
        <f t="shared" si="35"/>
        <v>-1500</v>
      </c>
    </row>
    <row r="111" spans="1:32" ht="23.25" x14ac:dyDescent="0.25">
      <c r="A111" s="3" t="s">
        <v>114</v>
      </c>
      <c r="B111" s="4"/>
      <c r="C111" s="5">
        <f>25000</f>
        <v>25000</v>
      </c>
      <c r="D111" s="37">
        <v>25000</v>
      </c>
      <c r="E111" s="5">
        <f t="shared" si="40"/>
        <v>-25000</v>
      </c>
      <c r="F111" s="6">
        <f t="shared" si="41"/>
        <v>0</v>
      </c>
      <c r="G111" s="5">
        <f>16000</f>
        <v>16000</v>
      </c>
      <c r="H111" s="4"/>
      <c r="I111" s="34">
        <v>25000</v>
      </c>
      <c r="J111" s="5">
        <f t="shared" si="42"/>
        <v>16000</v>
      </c>
      <c r="K111" s="6" t="str">
        <f t="shared" si="43"/>
        <v/>
      </c>
      <c r="L111" s="4"/>
      <c r="M111" s="5">
        <f>20500</f>
        <v>20500</v>
      </c>
      <c r="N111" s="37">
        <v>21000</v>
      </c>
      <c r="O111" s="5">
        <f t="shared" si="44"/>
        <v>-20500</v>
      </c>
      <c r="P111" s="6">
        <f t="shared" si="45"/>
        <v>0</v>
      </c>
      <c r="Q111" s="62">
        <f>487.5</f>
        <v>487.5</v>
      </c>
      <c r="R111" s="62">
        <f>15500</f>
        <v>15500</v>
      </c>
      <c r="S111" s="69"/>
      <c r="T111" s="62">
        <f t="shared" si="52"/>
        <v>-15012.5</v>
      </c>
      <c r="U111" s="63">
        <f t="shared" si="53"/>
        <v>3.1451612903225803E-2</v>
      </c>
      <c r="V111" s="59"/>
      <c r="W111" s="59"/>
      <c r="X111" s="61"/>
      <c r="Y111" s="62">
        <f t="shared" si="46"/>
        <v>0</v>
      </c>
      <c r="Z111" s="63" t="str">
        <f t="shared" si="47"/>
        <v/>
      </c>
      <c r="AA111" s="5">
        <f t="shared" si="48"/>
        <v>16487.5</v>
      </c>
      <c r="AB111" s="5">
        <f t="shared" si="49"/>
        <v>61000</v>
      </c>
      <c r="AC111" s="34">
        <f t="shared" si="36"/>
        <v>71000</v>
      </c>
      <c r="AD111" s="5">
        <f t="shared" si="50"/>
        <v>-44512.5</v>
      </c>
      <c r="AE111" s="6">
        <f t="shared" si="51"/>
        <v>0.27028688524590166</v>
      </c>
      <c r="AF111" s="47">
        <f t="shared" si="35"/>
        <v>10000</v>
      </c>
    </row>
    <row r="112" spans="1:32" ht="15.75" thickBot="1" x14ac:dyDescent="0.3">
      <c r="A112" s="14" t="s">
        <v>115</v>
      </c>
      <c r="B112" s="4"/>
      <c r="C112" s="4"/>
      <c r="D112" s="35">
        <v>15000</v>
      </c>
      <c r="E112" s="5">
        <f t="shared" si="40"/>
        <v>0</v>
      </c>
      <c r="F112" s="6" t="str">
        <f t="shared" si="41"/>
        <v/>
      </c>
      <c r="G112" s="4"/>
      <c r="H112" s="4"/>
      <c r="I112" s="35"/>
      <c r="J112" s="5">
        <f t="shared" si="42"/>
        <v>0</v>
      </c>
      <c r="K112" s="6" t="str">
        <f t="shared" si="43"/>
        <v/>
      </c>
      <c r="L112" s="4"/>
      <c r="M112" s="5">
        <f>12000</f>
        <v>12000</v>
      </c>
      <c r="N112" s="39">
        <v>15000</v>
      </c>
      <c r="O112" s="5">
        <f t="shared" si="44"/>
        <v>-12000</v>
      </c>
      <c r="P112" s="6">
        <f t="shared" si="45"/>
        <v>0</v>
      </c>
      <c r="Q112" s="59"/>
      <c r="R112" s="59"/>
      <c r="S112" s="64"/>
      <c r="T112" s="62">
        <f t="shared" si="52"/>
        <v>0</v>
      </c>
      <c r="U112" s="63" t="str">
        <f t="shared" si="53"/>
        <v/>
      </c>
      <c r="V112" s="59"/>
      <c r="W112" s="59"/>
      <c r="X112" s="64"/>
      <c r="Y112" s="62">
        <f t="shared" si="46"/>
        <v>0</v>
      </c>
      <c r="Z112" s="63" t="str">
        <f t="shared" si="47"/>
        <v/>
      </c>
      <c r="AA112" s="5">
        <f t="shared" si="48"/>
        <v>0</v>
      </c>
      <c r="AB112" s="5">
        <f t="shared" si="49"/>
        <v>12000</v>
      </c>
      <c r="AC112" s="35">
        <f t="shared" si="36"/>
        <v>30000</v>
      </c>
      <c r="AD112" s="5">
        <f t="shared" si="50"/>
        <v>-12000</v>
      </c>
      <c r="AE112" s="6">
        <f t="shared" si="51"/>
        <v>0</v>
      </c>
      <c r="AF112" s="48">
        <f t="shared" si="35"/>
        <v>18000</v>
      </c>
    </row>
    <row r="113" spans="1:32" ht="16.5" thickTop="1" thickBot="1" x14ac:dyDescent="0.3">
      <c r="A113" s="3" t="s">
        <v>116</v>
      </c>
      <c r="B113" s="19">
        <f>((((((B106)+(B107))+(B108))+(B109))+(B110))+(B111))+(B112)</f>
        <v>50965.229999999996</v>
      </c>
      <c r="C113" s="20">
        <f>((((((C106)+(C107))+(C108))+(C109))+(C110))+(C111))+(C112)</f>
        <v>120000</v>
      </c>
      <c r="D113" s="38">
        <f>((((((D106)+(D107))+(D108))+(D109))+(D110))+(D111))+(D112)</f>
        <v>107000</v>
      </c>
      <c r="E113" s="20">
        <f t="shared" si="40"/>
        <v>-69034.77</v>
      </c>
      <c r="F113" s="21">
        <f t="shared" si="41"/>
        <v>0.42471024999999996</v>
      </c>
      <c r="G113" s="20">
        <f>((((((G106)+(G107))+(G108))+(G109))+(G110))+(G111))+(G112)</f>
        <v>43123.67</v>
      </c>
      <c r="H113" s="20">
        <f>((((((H106)+(H107))+(H108))+(H109))+(H110))+(H111))+(H112)</f>
        <v>10000</v>
      </c>
      <c r="I113" s="38">
        <f>((((((I106)+(I107))+(I108))+(I109))+(I110))+(I111))+(I112)</f>
        <v>55000</v>
      </c>
      <c r="J113" s="20">
        <f t="shared" si="42"/>
        <v>33123.67</v>
      </c>
      <c r="K113" s="21">
        <f t="shared" si="43"/>
        <v>4.3123670000000001</v>
      </c>
      <c r="L113" s="20">
        <f>((((((L106)+(L107))+(L108))+(L109))+(L110))+(L111))+(L112)</f>
        <v>278439.41000000003</v>
      </c>
      <c r="M113" s="20">
        <f>((((((M106)+(M107))+(M108))+(M109))+(M110))+(M111))+(M112)</f>
        <v>342000</v>
      </c>
      <c r="N113" s="38">
        <f>((((((N106)+(N107))+(N108))+(N109))+(N110))+(N111))+(N112)</f>
        <v>351500</v>
      </c>
      <c r="O113" s="20">
        <f t="shared" si="44"/>
        <v>-63560.589999999967</v>
      </c>
      <c r="P113" s="21">
        <f t="shared" si="45"/>
        <v>0.81415032163742695</v>
      </c>
      <c r="Q113" s="67">
        <f>((((((Q106)+(Q107))+(Q108))+(Q109))+(Q110))+(Q111))+(Q112)</f>
        <v>1090</v>
      </c>
      <c r="R113" s="67">
        <f>((((((R106)+(R107))+(R108))+(R109))+(R110))+(R111))+(R112)</f>
        <v>35500</v>
      </c>
      <c r="S113" s="67">
        <f>((((((S106)+(S107))+(S108))+(S109))+(S110))+(S111))+(S112)</f>
        <v>0</v>
      </c>
      <c r="T113" s="67">
        <f t="shared" si="52"/>
        <v>-34410</v>
      </c>
      <c r="U113" s="68">
        <f t="shared" si="53"/>
        <v>3.0704225352112677E-2</v>
      </c>
      <c r="V113" s="67">
        <f>((((((V106)+(V107))+(V108))+(V109))+(V110))+(V111))+(V112)</f>
        <v>0</v>
      </c>
      <c r="W113" s="67">
        <f>((((((W106)+(W107))+(W108))+(W109))+(W110))+(W111))+(W112)</f>
        <v>0</v>
      </c>
      <c r="X113" s="67">
        <f t="shared" ref="X113:Z113" si="54">((((((X106)+(X107))+(X108))+(X109))+(X110))+(X111))+(X112)</f>
        <v>0</v>
      </c>
      <c r="Y113" s="67">
        <f t="shared" si="54"/>
        <v>0</v>
      </c>
      <c r="Z113" s="67" t="e">
        <f t="shared" si="54"/>
        <v>#VALUE!</v>
      </c>
      <c r="AA113" s="20">
        <f t="shared" si="48"/>
        <v>373618.31000000006</v>
      </c>
      <c r="AB113" s="20">
        <f t="shared" si="49"/>
        <v>507500</v>
      </c>
      <c r="AC113" s="38">
        <f>((((D113)+(I113))+(N113))+(S113))+(X113)</f>
        <v>513500</v>
      </c>
      <c r="AD113" s="20">
        <f t="shared" si="50"/>
        <v>-133881.68999999994</v>
      </c>
      <c r="AE113" s="21">
        <f t="shared" si="51"/>
        <v>0.73619371428571445</v>
      </c>
      <c r="AF113" s="50">
        <f t="shared" si="35"/>
        <v>6000</v>
      </c>
    </row>
    <row r="114" spans="1:32" ht="15.75" thickTop="1" x14ac:dyDescent="0.25">
      <c r="A114" s="3" t="s">
        <v>117</v>
      </c>
      <c r="B114" s="5">
        <f>3031.5</f>
        <v>3031.5</v>
      </c>
      <c r="C114" s="5">
        <f>5000</f>
        <v>5000</v>
      </c>
      <c r="D114" s="41">
        <v>10000</v>
      </c>
      <c r="E114" s="5">
        <f t="shared" si="40"/>
        <v>-1968.5</v>
      </c>
      <c r="F114" s="6">
        <f t="shared" si="41"/>
        <v>0.60629999999999995</v>
      </c>
      <c r="G114" s="4"/>
      <c r="H114" s="4"/>
      <c r="I114" s="33"/>
      <c r="J114" s="5">
        <f t="shared" si="42"/>
        <v>0</v>
      </c>
      <c r="K114" s="6" t="str">
        <f t="shared" si="43"/>
        <v/>
      </c>
      <c r="L114" s="4"/>
      <c r="M114" s="5">
        <f>5000</f>
        <v>5000</v>
      </c>
      <c r="N114" s="41"/>
      <c r="O114" s="5">
        <f t="shared" si="44"/>
        <v>-5000</v>
      </c>
      <c r="P114" s="6">
        <f t="shared" si="45"/>
        <v>0</v>
      </c>
      <c r="Q114" s="59"/>
      <c r="R114" s="59"/>
      <c r="S114" s="60"/>
      <c r="T114" s="62">
        <f t="shared" si="52"/>
        <v>0</v>
      </c>
      <c r="U114" s="63" t="str">
        <f t="shared" si="53"/>
        <v/>
      </c>
      <c r="V114" s="59"/>
      <c r="W114" s="59"/>
      <c r="X114" s="60"/>
      <c r="Y114" s="62">
        <f t="shared" ref="Y114:Y132" si="55">(V114)-(W114)</f>
        <v>0</v>
      </c>
      <c r="Z114" s="63" t="str">
        <f t="shared" ref="Z114:Z132" si="56">IF(W114=0,"",(V114)/(W114))</f>
        <v/>
      </c>
      <c r="AA114" s="5">
        <f t="shared" si="48"/>
        <v>3031.5</v>
      </c>
      <c r="AB114" s="5">
        <f t="shared" si="49"/>
        <v>10000</v>
      </c>
      <c r="AC114" s="33">
        <f t="shared" si="36"/>
        <v>10000</v>
      </c>
      <c r="AD114" s="5">
        <f t="shared" si="50"/>
        <v>-6968.5</v>
      </c>
      <c r="AE114" s="6">
        <f t="shared" si="51"/>
        <v>0.30314999999999998</v>
      </c>
      <c r="AF114" s="46">
        <f t="shared" si="35"/>
        <v>0</v>
      </c>
    </row>
    <row r="115" spans="1:32" x14ac:dyDescent="0.25">
      <c r="A115" s="3" t="s">
        <v>118</v>
      </c>
      <c r="B115" s="4"/>
      <c r="C115" s="5">
        <f>22500</f>
        <v>22500</v>
      </c>
      <c r="D115" s="37">
        <v>45000</v>
      </c>
      <c r="E115" s="5">
        <f t="shared" si="40"/>
        <v>-22500</v>
      </c>
      <c r="F115" s="6">
        <f t="shared" si="41"/>
        <v>0</v>
      </c>
      <c r="G115" s="5">
        <f>167512.43</f>
        <v>167512.43</v>
      </c>
      <c r="H115" s="5">
        <f>160000</f>
        <v>160000</v>
      </c>
      <c r="I115" s="37">
        <v>165000</v>
      </c>
      <c r="J115" s="5">
        <f t="shared" si="42"/>
        <v>7512.429999999993</v>
      </c>
      <c r="K115" s="6">
        <f t="shared" si="43"/>
        <v>1.0469526874999999</v>
      </c>
      <c r="L115" s="5">
        <f>427.15</f>
        <v>427.15</v>
      </c>
      <c r="M115" s="4"/>
      <c r="N115" s="34">
        <v>500</v>
      </c>
      <c r="O115" s="5">
        <f t="shared" si="44"/>
        <v>427.15</v>
      </c>
      <c r="P115" s="6" t="str">
        <f t="shared" si="45"/>
        <v/>
      </c>
      <c r="Q115" s="62">
        <f>16257.68</f>
        <v>16257.68</v>
      </c>
      <c r="R115" s="62">
        <f>40000</f>
        <v>40000</v>
      </c>
      <c r="S115" s="69"/>
      <c r="T115" s="62">
        <f t="shared" si="52"/>
        <v>-23742.32</v>
      </c>
      <c r="U115" s="63">
        <f t="shared" si="53"/>
        <v>0.40644200000000003</v>
      </c>
      <c r="V115" s="59"/>
      <c r="W115" s="59"/>
      <c r="X115" s="61"/>
      <c r="Y115" s="62">
        <f t="shared" si="55"/>
        <v>0</v>
      </c>
      <c r="Z115" s="63" t="str">
        <f t="shared" si="56"/>
        <v/>
      </c>
      <c r="AA115" s="5">
        <f t="shared" si="48"/>
        <v>184197.25999999998</v>
      </c>
      <c r="AB115" s="5">
        <f t="shared" si="49"/>
        <v>222500</v>
      </c>
      <c r="AC115" s="34">
        <f t="shared" si="36"/>
        <v>210500</v>
      </c>
      <c r="AD115" s="5">
        <f t="shared" si="50"/>
        <v>-38302.74000000002</v>
      </c>
      <c r="AE115" s="6">
        <f t="shared" si="51"/>
        <v>0.82785285393258423</v>
      </c>
      <c r="AF115" s="47">
        <f t="shared" si="35"/>
        <v>-12000</v>
      </c>
    </row>
    <row r="116" spans="1:32" ht="23.25" x14ac:dyDescent="0.25">
      <c r="A116" s="3" t="s">
        <v>119</v>
      </c>
      <c r="B116" s="4"/>
      <c r="C116" s="4"/>
      <c r="D116" s="34">
        <v>55000</v>
      </c>
      <c r="E116" s="5">
        <f t="shared" ref="E116:E132" si="57">(B116)-(C116)</f>
        <v>0</v>
      </c>
      <c r="F116" s="6" t="str">
        <f t="shared" ref="F116:F132" si="58">IF(C116=0,"",(B116)/(C116))</f>
        <v/>
      </c>
      <c r="G116" s="4"/>
      <c r="H116" s="4"/>
      <c r="I116" s="34"/>
      <c r="J116" s="5">
        <f t="shared" ref="J116:J132" si="59">(G116)-(H116)</f>
        <v>0</v>
      </c>
      <c r="K116" s="6" t="str">
        <f t="shared" ref="K116:K132" si="60">IF(H116=0,"",(G116)/(H116))</f>
        <v/>
      </c>
      <c r="L116" s="5">
        <f>9952.35</f>
        <v>9952.35</v>
      </c>
      <c r="M116" s="4"/>
      <c r="N116" s="34"/>
      <c r="O116" s="5">
        <f t="shared" ref="O116:O132" si="61">(L116)-(M116)</f>
        <v>9952.35</v>
      </c>
      <c r="P116" s="6" t="str">
        <f t="shared" ref="P116:P132" si="62">IF(M116=0,"",(L116)/(M116))</f>
        <v/>
      </c>
      <c r="Q116" s="62">
        <f>292960.55</f>
        <v>292960.55</v>
      </c>
      <c r="R116" s="59"/>
      <c r="S116" s="61"/>
      <c r="T116" s="62">
        <f t="shared" si="52"/>
        <v>292960.55</v>
      </c>
      <c r="U116" s="63" t="str">
        <f t="shared" si="53"/>
        <v/>
      </c>
      <c r="V116" s="59"/>
      <c r="W116" s="59"/>
      <c r="X116" s="61"/>
      <c r="Y116" s="62">
        <f t="shared" si="55"/>
        <v>0</v>
      </c>
      <c r="Z116" s="63" t="str">
        <f t="shared" si="56"/>
        <v/>
      </c>
      <c r="AA116" s="5">
        <f t="shared" ref="AA116:AA132" si="63">((((B116)+(G116))+(L116))+(Q116))+(V116)</f>
        <v>302912.89999999997</v>
      </c>
      <c r="AB116" s="5">
        <f t="shared" ref="AB116:AC132" si="64">((((C116)+(H116))+(M116))+(R116))+(W116)</f>
        <v>0</v>
      </c>
      <c r="AC116" s="34">
        <f t="shared" si="36"/>
        <v>55000</v>
      </c>
      <c r="AD116" s="5">
        <f t="shared" ref="AD116:AD132" si="65">(AA116)-(AB116)</f>
        <v>302912.89999999997</v>
      </c>
      <c r="AE116" s="6" t="str">
        <f t="shared" ref="AE116:AE132" si="66">IF(AB116=0,"",(AA116)/(AB116))</f>
        <v/>
      </c>
      <c r="AF116" s="47">
        <f t="shared" si="35"/>
        <v>55000</v>
      </c>
    </row>
    <row r="117" spans="1:32" x14ac:dyDescent="0.25">
      <c r="A117" s="3" t="s">
        <v>120</v>
      </c>
      <c r="B117" s="5">
        <f>2956.45</f>
        <v>2956.45</v>
      </c>
      <c r="C117" s="5">
        <f>30000</f>
        <v>30000</v>
      </c>
      <c r="D117" s="37">
        <v>30000</v>
      </c>
      <c r="E117" s="5">
        <f t="shared" si="57"/>
        <v>-27043.55</v>
      </c>
      <c r="F117" s="6">
        <f t="shared" si="58"/>
        <v>9.8548333333333321E-2</v>
      </c>
      <c r="G117" s="5">
        <f>10326.5</f>
        <v>10326.5</v>
      </c>
      <c r="H117" s="4"/>
      <c r="I117" s="34"/>
      <c r="J117" s="5">
        <f t="shared" si="59"/>
        <v>10326.5</v>
      </c>
      <c r="K117" s="6" t="str">
        <f t="shared" si="60"/>
        <v/>
      </c>
      <c r="L117" s="5">
        <f>7671.88</f>
        <v>7671.88</v>
      </c>
      <c r="M117" s="5">
        <f>5000</f>
        <v>5000</v>
      </c>
      <c r="N117" s="37">
        <v>8000</v>
      </c>
      <c r="O117" s="5">
        <f t="shared" si="61"/>
        <v>2671.88</v>
      </c>
      <c r="P117" s="6">
        <f t="shared" si="62"/>
        <v>1.534376</v>
      </c>
      <c r="Q117" s="59"/>
      <c r="R117" s="59"/>
      <c r="S117" s="61"/>
      <c r="T117" s="62">
        <f t="shared" si="52"/>
        <v>0</v>
      </c>
      <c r="U117" s="63" t="str">
        <f t="shared" si="53"/>
        <v/>
      </c>
      <c r="V117" s="59"/>
      <c r="W117" s="59"/>
      <c r="X117" s="61"/>
      <c r="Y117" s="62">
        <f t="shared" si="55"/>
        <v>0</v>
      </c>
      <c r="Z117" s="63" t="str">
        <f t="shared" si="56"/>
        <v/>
      </c>
      <c r="AA117" s="5">
        <f t="shared" si="63"/>
        <v>20954.830000000002</v>
      </c>
      <c r="AB117" s="5">
        <f t="shared" si="64"/>
        <v>35000</v>
      </c>
      <c r="AC117" s="34">
        <f t="shared" si="36"/>
        <v>38000</v>
      </c>
      <c r="AD117" s="5">
        <f t="shared" si="65"/>
        <v>-14045.169999999998</v>
      </c>
      <c r="AE117" s="6">
        <f t="shared" si="66"/>
        <v>0.59870942857142861</v>
      </c>
      <c r="AF117" s="47">
        <f t="shared" si="35"/>
        <v>3000</v>
      </c>
    </row>
    <row r="118" spans="1:32" x14ac:dyDescent="0.25">
      <c r="A118" s="3" t="s">
        <v>121</v>
      </c>
      <c r="B118" s="4"/>
      <c r="C118" s="4"/>
      <c r="D118" s="34"/>
      <c r="E118" s="5">
        <f t="shared" si="57"/>
        <v>0</v>
      </c>
      <c r="F118" s="6" t="str">
        <f t="shared" si="58"/>
        <v/>
      </c>
      <c r="G118" s="5">
        <f>10762.6</f>
        <v>10762.6</v>
      </c>
      <c r="H118" s="4"/>
      <c r="I118" s="34"/>
      <c r="J118" s="5">
        <f t="shared" si="59"/>
        <v>10762.6</v>
      </c>
      <c r="K118" s="6" t="str">
        <f t="shared" si="60"/>
        <v/>
      </c>
      <c r="L118" s="4"/>
      <c r="M118" s="4"/>
      <c r="N118" s="34"/>
      <c r="O118" s="5">
        <f t="shared" si="61"/>
        <v>0</v>
      </c>
      <c r="P118" s="6" t="str">
        <f t="shared" si="62"/>
        <v/>
      </c>
      <c r="Q118" s="59"/>
      <c r="R118" s="59"/>
      <c r="S118" s="61"/>
      <c r="T118" s="62">
        <f t="shared" si="52"/>
        <v>0</v>
      </c>
      <c r="U118" s="63" t="str">
        <f t="shared" si="53"/>
        <v/>
      </c>
      <c r="V118" s="59"/>
      <c r="W118" s="59"/>
      <c r="X118" s="61"/>
      <c r="Y118" s="62">
        <f t="shared" si="55"/>
        <v>0</v>
      </c>
      <c r="Z118" s="63" t="str">
        <f t="shared" si="56"/>
        <v/>
      </c>
      <c r="AA118" s="5">
        <f t="shared" si="63"/>
        <v>10762.6</v>
      </c>
      <c r="AB118" s="5">
        <f t="shared" si="64"/>
        <v>0</v>
      </c>
      <c r="AC118" s="34">
        <f t="shared" si="36"/>
        <v>0</v>
      </c>
      <c r="AD118" s="5">
        <f t="shared" si="65"/>
        <v>10762.6</v>
      </c>
      <c r="AE118" s="6" t="str">
        <f t="shared" si="66"/>
        <v/>
      </c>
      <c r="AF118" s="47">
        <f t="shared" si="35"/>
        <v>0</v>
      </c>
    </row>
    <row r="119" spans="1:32" x14ac:dyDescent="0.25">
      <c r="A119" s="3" t="s">
        <v>122</v>
      </c>
      <c r="B119" s="4"/>
      <c r="C119" s="4"/>
      <c r="D119" s="34"/>
      <c r="E119" s="5">
        <f t="shared" si="57"/>
        <v>0</v>
      </c>
      <c r="F119" s="6" t="str">
        <f t="shared" si="58"/>
        <v/>
      </c>
      <c r="G119" s="4"/>
      <c r="H119" s="4"/>
      <c r="I119" s="34"/>
      <c r="J119" s="5">
        <f t="shared" si="59"/>
        <v>0</v>
      </c>
      <c r="K119" s="6" t="str">
        <f t="shared" si="60"/>
        <v/>
      </c>
      <c r="L119" s="4"/>
      <c r="M119" s="4"/>
      <c r="N119" s="34"/>
      <c r="O119" s="5">
        <f t="shared" si="61"/>
        <v>0</v>
      </c>
      <c r="P119" s="6" t="str">
        <f t="shared" si="62"/>
        <v/>
      </c>
      <c r="Q119" s="62">
        <f>512.31</f>
        <v>512.30999999999995</v>
      </c>
      <c r="R119" s="59"/>
      <c r="S119" s="61"/>
      <c r="T119" s="62">
        <f t="shared" si="52"/>
        <v>512.30999999999995</v>
      </c>
      <c r="U119" s="63" t="str">
        <f t="shared" si="53"/>
        <v/>
      </c>
      <c r="V119" s="59"/>
      <c r="W119" s="59"/>
      <c r="X119" s="61"/>
      <c r="Y119" s="62">
        <f t="shared" si="55"/>
        <v>0</v>
      </c>
      <c r="Z119" s="63" t="str">
        <f t="shared" si="56"/>
        <v/>
      </c>
      <c r="AA119" s="5">
        <f t="shared" si="63"/>
        <v>512.30999999999995</v>
      </c>
      <c r="AB119" s="5">
        <f t="shared" si="64"/>
        <v>0</v>
      </c>
      <c r="AC119" s="34">
        <f t="shared" si="36"/>
        <v>0</v>
      </c>
      <c r="AD119" s="5">
        <f t="shared" si="65"/>
        <v>512.30999999999995</v>
      </c>
      <c r="AE119" s="6" t="str">
        <f t="shared" si="66"/>
        <v/>
      </c>
      <c r="AF119" s="47">
        <f t="shared" si="35"/>
        <v>0</v>
      </c>
    </row>
    <row r="120" spans="1:32" x14ac:dyDescent="0.25">
      <c r="A120" s="3" t="s">
        <v>123</v>
      </c>
      <c r="B120" s="4"/>
      <c r="C120" s="4"/>
      <c r="D120" s="34"/>
      <c r="E120" s="5">
        <f t="shared" si="57"/>
        <v>0</v>
      </c>
      <c r="F120" s="6" t="str">
        <f t="shared" si="58"/>
        <v/>
      </c>
      <c r="G120" s="4"/>
      <c r="H120" s="4"/>
      <c r="I120" s="34"/>
      <c r="J120" s="5">
        <f t="shared" si="59"/>
        <v>0</v>
      </c>
      <c r="K120" s="6" t="str">
        <f t="shared" si="60"/>
        <v/>
      </c>
      <c r="L120" s="5">
        <f>3320.11</f>
        <v>3320.11</v>
      </c>
      <c r="M120" s="4"/>
      <c r="N120" s="34">
        <v>3300</v>
      </c>
      <c r="O120" s="5">
        <f t="shared" si="61"/>
        <v>3320.11</v>
      </c>
      <c r="P120" s="6" t="str">
        <f t="shared" si="62"/>
        <v/>
      </c>
      <c r="Q120" s="59"/>
      <c r="R120" s="59"/>
      <c r="S120" s="61"/>
      <c r="T120" s="62">
        <f t="shared" si="52"/>
        <v>0</v>
      </c>
      <c r="U120" s="63" t="str">
        <f t="shared" si="53"/>
        <v/>
      </c>
      <c r="V120" s="59"/>
      <c r="W120" s="59"/>
      <c r="X120" s="61"/>
      <c r="Y120" s="62">
        <f t="shared" si="55"/>
        <v>0</v>
      </c>
      <c r="Z120" s="63" t="str">
        <f t="shared" si="56"/>
        <v/>
      </c>
      <c r="AA120" s="5">
        <f t="shared" si="63"/>
        <v>3320.11</v>
      </c>
      <c r="AB120" s="5">
        <f t="shared" si="64"/>
        <v>0</v>
      </c>
      <c r="AC120" s="34">
        <f t="shared" si="36"/>
        <v>3300</v>
      </c>
      <c r="AD120" s="5">
        <f t="shared" si="65"/>
        <v>3320.11</v>
      </c>
      <c r="AE120" s="6" t="str">
        <f t="shared" si="66"/>
        <v/>
      </c>
      <c r="AF120" s="47">
        <f t="shared" si="35"/>
        <v>3300</v>
      </c>
    </row>
    <row r="121" spans="1:32" x14ac:dyDescent="0.25">
      <c r="A121" s="3" t="s">
        <v>124</v>
      </c>
      <c r="B121" s="5">
        <f>0</f>
        <v>0</v>
      </c>
      <c r="C121" s="4"/>
      <c r="D121" s="34"/>
      <c r="E121" s="5">
        <f t="shared" si="57"/>
        <v>0</v>
      </c>
      <c r="F121" s="6" t="str">
        <f t="shared" si="58"/>
        <v/>
      </c>
      <c r="G121" s="4"/>
      <c r="H121" s="4"/>
      <c r="I121" s="34"/>
      <c r="J121" s="5">
        <f t="shared" si="59"/>
        <v>0</v>
      </c>
      <c r="K121" s="6" t="str">
        <f t="shared" si="60"/>
        <v/>
      </c>
      <c r="L121" s="5">
        <f>0</f>
        <v>0</v>
      </c>
      <c r="M121" s="4"/>
      <c r="N121" s="34"/>
      <c r="O121" s="5">
        <f t="shared" si="61"/>
        <v>0</v>
      </c>
      <c r="P121" s="6" t="str">
        <f t="shared" si="62"/>
        <v/>
      </c>
      <c r="Q121" s="59"/>
      <c r="R121" s="59"/>
      <c r="S121" s="61"/>
      <c r="T121" s="62">
        <f t="shared" si="52"/>
        <v>0</v>
      </c>
      <c r="U121" s="63" t="str">
        <f t="shared" si="53"/>
        <v/>
      </c>
      <c r="V121" s="59"/>
      <c r="W121" s="59"/>
      <c r="X121" s="61"/>
      <c r="Y121" s="62">
        <f t="shared" si="55"/>
        <v>0</v>
      </c>
      <c r="Z121" s="63" t="str">
        <f t="shared" si="56"/>
        <v/>
      </c>
      <c r="AA121" s="5">
        <f t="shared" si="63"/>
        <v>0</v>
      </c>
      <c r="AB121" s="5">
        <f t="shared" si="64"/>
        <v>0</v>
      </c>
      <c r="AC121" s="34">
        <f t="shared" si="36"/>
        <v>0</v>
      </c>
      <c r="AD121" s="5">
        <f t="shared" si="65"/>
        <v>0</v>
      </c>
      <c r="AE121" s="6" t="str">
        <f t="shared" si="66"/>
        <v/>
      </c>
      <c r="AF121" s="47">
        <f t="shared" si="35"/>
        <v>0</v>
      </c>
    </row>
    <row r="122" spans="1:32" x14ac:dyDescent="0.25">
      <c r="A122" s="3" t="s">
        <v>125</v>
      </c>
      <c r="B122" s="4"/>
      <c r="C122" s="4"/>
      <c r="D122" s="34"/>
      <c r="E122" s="5">
        <f t="shared" si="57"/>
        <v>0</v>
      </c>
      <c r="F122" s="6" t="str">
        <f t="shared" si="58"/>
        <v/>
      </c>
      <c r="G122" s="5">
        <f>0</f>
        <v>0</v>
      </c>
      <c r="H122" s="4"/>
      <c r="I122" s="34"/>
      <c r="J122" s="5">
        <f t="shared" si="59"/>
        <v>0</v>
      </c>
      <c r="K122" s="6" t="str">
        <f t="shared" si="60"/>
        <v/>
      </c>
      <c r="L122" s="4"/>
      <c r="M122" s="4"/>
      <c r="N122" s="34"/>
      <c r="O122" s="5">
        <f t="shared" si="61"/>
        <v>0</v>
      </c>
      <c r="P122" s="6" t="str">
        <f t="shared" si="62"/>
        <v/>
      </c>
      <c r="Q122" s="59"/>
      <c r="R122" s="59"/>
      <c r="S122" s="61"/>
      <c r="T122" s="62">
        <f t="shared" si="52"/>
        <v>0</v>
      </c>
      <c r="U122" s="63" t="str">
        <f t="shared" si="53"/>
        <v/>
      </c>
      <c r="V122" s="59"/>
      <c r="W122" s="59"/>
      <c r="X122" s="61"/>
      <c r="Y122" s="62">
        <f t="shared" si="55"/>
        <v>0</v>
      </c>
      <c r="Z122" s="63" t="str">
        <f t="shared" si="56"/>
        <v/>
      </c>
      <c r="AA122" s="5">
        <f t="shared" si="63"/>
        <v>0</v>
      </c>
      <c r="AB122" s="5">
        <f t="shared" si="64"/>
        <v>0</v>
      </c>
      <c r="AC122" s="34">
        <f t="shared" si="36"/>
        <v>0</v>
      </c>
      <c r="AD122" s="5">
        <f t="shared" si="65"/>
        <v>0</v>
      </c>
      <c r="AE122" s="6" t="str">
        <f t="shared" si="66"/>
        <v/>
      </c>
      <c r="AF122" s="47">
        <f t="shared" si="35"/>
        <v>0</v>
      </c>
    </row>
    <row r="123" spans="1:32" x14ac:dyDescent="0.25">
      <c r="A123" s="3" t="s">
        <v>126</v>
      </c>
      <c r="B123" s="4"/>
      <c r="C123" s="4"/>
      <c r="D123" s="34"/>
      <c r="E123" s="5">
        <f t="shared" si="57"/>
        <v>0</v>
      </c>
      <c r="F123" s="6" t="str">
        <f t="shared" si="58"/>
        <v/>
      </c>
      <c r="G123" s="4"/>
      <c r="H123" s="4"/>
      <c r="I123" s="34"/>
      <c r="J123" s="5">
        <f t="shared" si="59"/>
        <v>0</v>
      </c>
      <c r="K123" s="6" t="str">
        <f t="shared" si="60"/>
        <v/>
      </c>
      <c r="L123" s="4"/>
      <c r="M123" s="5">
        <f>0</f>
        <v>0</v>
      </c>
      <c r="N123" s="37"/>
      <c r="O123" s="5">
        <f t="shared" si="61"/>
        <v>0</v>
      </c>
      <c r="P123" s="6" t="str">
        <f t="shared" si="62"/>
        <v/>
      </c>
      <c r="Q123" s="59"/>
      <c r="R123" s="59"/>
      <c r="S123" s="61"/>
      <c r="T123" s="62">
        <f t="shared" si="52"/>
        <v>0</v>
      </c>
      <c r="U123" s="63" t="str">
        <f t="shared" si="53"/>
        <v/>
      </c>
      <c r="V123" s="59"/>
      <c r="W123" s="59"/>
      <c r="X123" s="61"/>
      <c r="Y123" s="62">
        <f t="shared" si="55"/>
        <v>0</v>
      </c>
      <c r="Z123" s="63" t="str">
        <f t="shared" si="56"/>
        <v/>
      </c>
      <c r="AA123" s="5">
        <f t="shared" si="63"/>
        <v>0</v>
      </c>
      <c r="AB123" s="5">
        <f t="shared" si="64"/>
        <v>0</v>
      </c>
      <c r="AC123" s="34">
        <f t="shared" si="36"/>
        <v>0</v>
      </c>
      <c r="AD123" s="5">
        <f t="shared" si="65"/>
        <v>0</v>
      </c>
      <c r="AE123" s="6" t="str">
        <f t="shared" si="66"/>
        <v/>
      </c>
      <c r="AF123" s="47">
        <f t="shared" si="35"/>
        <v>0</v>
      </c>
    </row>
    <row r="124" spans="1:32" x14ac:dyDescent="0.25">
      <c r="A124" s="3" t="s">
        <v>127</v>
      </c>
      <c r="B124" s="4"/>
      <c r="C124" s="4"/>
      <c r="D124" s="34"/>
      <c r="E124" s="5">
        <f t="shared" si="57"/>
        <v>0</v>
      </c>
      <c r="F124" s="6" t="str">
        <f t="shared" si="58"/>
        <v/>
      </c>
      <c r="G124" s="4"/>
      <c r="H124" s="4"/>
      <c r="I124" s="34"/>
      <c r="J124" s="5">
        <f t="shared" si="59"/>
        <v>0</v>
      </c>
      <c r="K124" s="6" t="str">
        <f t="shared" si="60"/>
        <v/>
      </c>
      <c r="L124" s="4"/>
      <c r="M124" s="4"/>
      <c r="N124" s="34"/>
      <c r="O124" s="5">
        <f t="shared" si="61"/>
        <v>0</v>
      </c>
      <c r="P124" s="6" t="str">
        <f t="shared" si="62"/>
        <v/>
      </c>
      <c r="Q124" s="59"/>
      <c r="R124" s="59"/>
      <c r="S124" s="61"/>
      <c r="T124" s="62">
        <f t="shared" si="52"/>
        <v>0</v>
      </c>
      <c r="U124" s="63" t="str">
        <f t="shared" si="53"/>
        <v/>
      </c>
      <c r="V124" s="59"/>
      <c r="W124" s="59"/>
      <c r="X124" s="61"/>
      <c r="Y124" s="62">
        <f t="shared" si="55"/>
        <v>0</v>
      </c>
      <c r="Z124" s="63" t="str">
        <f t="shared" si="56"/>
        <v/>
      </c>
      <c r="AA124" s="5">
        <f t="shared" si="63"/>
        <v>0</v>
      </c>
      <c r="AB124" s="5">
        <f t="shared" si="64"/>
        <v>0</v>
      </c>
      <c r="AC124" s="34">
        <f t="shared" si="36"/>
        <v>0</v>
      </c>
      <c r="AD124" s="5">
        <f t="shared" si="65"/>
        <v>0</v>
      </c>
      <c r="AE124" s="6" t="str">
        <f t="shared" si="66"/>
        <v/>
      </c>
      <c r="AF124" s="47">
        <f t="shared" si="35"/>
        <v>0</v>
      </c>
    </row>
    <row r="125" spans="1:32" x14ac:dyDescent="0.25">
      <c r="A125" s="3" t="s">
        <v>128</v>
      </c>
      <c r="B125" s="4"/>
      <c r="C125" s="4"/>
      <c r="D125" s="34"/>
      <c r="E125" s="5">
        <f t="shared" si="57"/>
        <v>0</v>
      </c>
      <c r="F125" s="6" t="str">
        <f t="shared" si="58"/>
        <v/>
      </c>
      <c r="G125" s="4"/>
      <c r="H125" s="4"/>
      <c r="I125" s="34"/>
      <c r="J125" s="5">
        <f t="shared" si="59"/>
        <v>0</v>
      </c>
      <c r="K125" s="6" t="str">
        <f t="shared" si="60"/>
        <v/>
      </c>
      <c r="L125" s="4"/>
      <c r="M125" s="5">
        <f>0</f>
        <v>0</v>
      </c>
      <c r="N125" s="37"/>
      <c r="O125" s="5">
        <f t="shared" si="61"/>
        <v>0</v>
      </c>
      <c r="P125" s="6" t="str">
        <f t="shared" si="62"/>
        <v/>
      </c>
      <c r="Q125" s="59"/>
      <c r="R125" s="59"/>
      <c r="S125" s="61"/>
      <c r="T125" s="62">
        <f t="shared" si="52"/>
        <v>0</v>
      </c>
      <c r="U125" s="63" t="str">
        <f t="shared" si="53"/>
        <v/>
      </c>
      <c r="V125" s="59"/>
      <c r="W125" s="59"/>
      <c r="X125" s="61"/>
      <c r="Y125" s="62">
        <f t="shared" si="55"/>
        <v>0</v>
      </c>
      <c r="Z125" s="63" t="str">
        <f t="shared" si="56"/>
        <v/>
      </c>
      <c r="AA125" s="5">
        <f t="shared" si="63"/>
        <v>0</v>
      </c>
      <c r="AB125" s="5">
        <f t="shared" si="64"/>
        <v>0</v>
      </c>
      <c r="AC125" s="34">
        <f t="shared" si="36"/>
        <v>0</v>
      </c>
      <c r="AD125" s="5">
        <f t="shared" si="65"/>
        <v>0</v>
      </c>
      <c r="AE125" s="6" t="str">
        <f t="shared" si="66"/>
        <v/>
      </c>
      <c r="AF125" s="47">
        <f t="shared" si="35"/>
        <v>0</v>
      </c>
    </row>
    <row r="126" spans="1:32" ht="15.75" thickBot="1" x14ac:dyDescent="0.3">
      <c r="A126" s="14" t="s">
        <v>129</v>
      </c>
      <c r="B126" s="4"/>
      <c r="C126" s="4"/>
      <c r="D126" s="35"/>
      <c r="E126" s="5">
        <f t="shared" si="57"/>
        <v>0</v>
      </c>
      <c r="F126" s="6" t="str">
        <f t="shared" si="58"/>
        <v/>
      </c>
      <c r="G126" s="4"/>
      <c r="H126" s="4"/>
      <c r="I126" s="35"/>
      <c r="J126" s="5">
        <f t="shared" si="59"/>
        <v>0</v>
      </c>
      <c r="K126" s="6" t="str">
        <f t="shared" si="60"/>
        <v/>
      </c>
      <c r="L126" s="5">
        <f>0</f>
        <v>0</v>
      </c>
      <c r="M126" s="5">
        <f>0</f>
        <v>0</v>
      </c>
      <c r="N126" s="39"/>
      <c r="O126" s="5">
        <f t="shared" si="61"/>
        <v>0</v>
      </c>
      <c r="P126" s="6" t="str">
        <f t="shared" si="62"/>
        <v/>
      </c>
      <c r="Q126" s="59"/>
      <c r="R126" s="59"/>
      <c r="S126" s="64"/>
      <c r="T126" s="62">
        <f t="shared" si="52"/>
        <v>0</v>
      </c>
      <c r="U126" s="63" t="str">
        <f t="shared" si="53"/>
        <v/>
      </c>
      <c r="V126" s="59"/>
      <c r="W126" s="59"/>
      <c r="X126" s="64"/>
      <c r="Y126" s="62">
        <f t="shared" si="55"/>
        <v>0</v>
      </c>
      <c r="Z126" s="63" t="str">
        <f t="shared" si="56"/>
        <v/>
      </c>
      <c r="AA126" s="5">
        <f t="shared" si="63"/>
        <v>0</v>
      </c>
      <c r="AB126" s="5">
        <f t="shared" si="64"/>
        <v>0</v>
      </c>
      <c r="AC126" s="35">
        <f t="shared" si="36"/>
        <v>0</v>
      </c>
      <c r="AD126" s="5">
        <f t="shared" si="65"/>
        <v>0</v>
      </c>
      <c r="AE126" s="6" t="str">
        <f t="shared" si="66"/>
        <v/>
      </c>
      <c r="AF126" s="48">
        <f t="shared" si="35"/>
        <v>0</v>
      </c>
    </row>
    <row r="127" spans="1:32" ht="16.5" thickTop="1" thickBot="1" x14ac:dyDescent="0.3">
      <c r="A127" s="3" t="s">
        <v>130</v>
      </c>
      <c r="B127" s="19">
        <f>((B124)+(B125))+(B126)</f>
        <v>0</v>
      </c>
      <c r="C127" s="20">
        <f>((C124)+(C125))+(C126)</f>
        <v>0</v>
      </c>
      <c r="D127" s="38">
        <f>((D124)+(D125))+(D126)</f>
        <v>0</v>
      </c>
      <c r="E127" s="20">
        <f t="shared" si="57"/>
        <v>0</v>
      </c>
      <c r="F127" s="21" t="str">
        <f t="shared" si="58"/>
        <v/>
      </c>
      <c r="G127" s="20">
        <f>((G124)+(G125))+(G126)</f>
        <v>0</v>
      </c>
      <c r="H127" s="20">
        <f>((H124)+(H125))+(H126)</f>
        <v>0</v>
      </c>
      <c r="I127" s="38">
        <f>((I124)+(I125))+(I126)</f>
        <v>0</v>
      </c>
      <c r="J127" s="20">
        <f t="shared" si="59"/>
        <v>0</v>
      </c>
      <c r="K127" s="21" t="str">
        <f t="shared" si="60"/>
        <v/>
      </c>
      <c r="L127" s="20">
        <f>((L124)+(L125))+(L126)</f>
        <v>0</v>
      </c>
      <c r="M127" s="20">
        <f>((M124)+(M125))+(M126)</f>
        <v>0</v>
      </c>
      <c r="N127" s="38">
        <f>((N124)+(N125))+(N126)</f>
        <v>0</v>
      </c>
      <c r="O127" s="20">
        <f t="shared" si="61"/>
        <v>0</v>
      </c>
      <c r="P127" s="21" t="str">
        <f t="shared" si="62"/>
        <v/>
      </c>
      <c r="Q127" s="67">
        <f>((Q124)+(Q125))+(Q126)</f>
        <v>0</v>
      </c>
      <c r="R127" s="67">
        <f>((R124)+(R125))+(R126)</f>
        <v>0</v>
      </c>
      <c r="S127" s="67">
        <f>((S124)+(S125))+(S126)</f>
        <v>0</v>
      </c>
      <c r="T127" s="67">
        <f t="shared" si="52"/>
        <v>0</v>
      </c>
      <c r="U127" s="68" t="str">
        <f t="shared" si="53"/>
        <v/>
      </c>
      <c r="V127" s="67">
        <f>((V124)+(V125))+(V126)</f>
        <v>0</v>
      </c>
      <c r="W127" s="67">
        <f>((W124)+(W125))+(W126)</f>
        <v>0</v>
      </c>
      <c r="X127" s="67">
        <f>((X124)+(X125))+(X126)</f>
        <v>0</v>
      </c>
      <c r="Y127" s="67">
        <f t="shared" si="55"/>
        <v>0</v>
      </c>
      <c r="Z127" s="68" t="str">
        <f t="shared" si="56"/>
        <v/>
      </c>
      <c r="AA127" s="20">
        <f t="shared" si="63"/>
        <v>0</v>
      </c>
      <c r="AB127" s="20">
        <f t="shared" si="64"/>
        <v>0</v>
      </c>
      <c r="AC127" s="38">
        <f>((((D127)+(I127))+(N127))+(S127))+(X127)</f>
        <v>0</v>
      </c>
      <c r="AD127" s="20">
        <f t="shared" si="65"/>
        <v>0</v>
      </c>
      <c r="AE127" s="21" t="str">
        <f t="shared" si="66"/>
        <v/>
      </c>
      <c r="AF127" s="50">
        <f t="shared" si="35"/>
        <v>0</v>
      </c>
    </row>
    <row r="128" spans="1:32" ht="15.75" thickTop="1" x14ac:dyDescent="0.25">
      <c r="A128" s="3" t="s">
        <v>131</v>
      </c>
      <c r="B128" s="4"/>
      <c r="C128" s="5">
        <f>0</f>
        <v>0</v>
      </c>
      <c r="D128" s="41"/>
      <c r="E128" s="5">
        <f t="shared" si="57"/>
        <v>0</v>
      </c>
      <c r="F128" s="6" t="str">
        <f t="shared" si="58"/>
        <v/>
      </c>
      <c r="G128" s="4"/>
      <c r="H128" s="5">
        <f>0</f>
        <v>0</v>
      </c>
      <c r="I128" s="41"/>
      <c r="J128" s="5">
        <f t="shared" si="59"/>
        <v>0</v>
      </c>
      <c r="K128" s="6" t="str">
        <f t="shared" si="60"/>
        <v/>
      </c>
      <c r="L128" s="4"/>
      <c r="M128" s="5">
        <f>0</f>
        <v>0</v>
      </c>
      <c r="N128" s="41"/>
      <c r="O128" s="5">
        <f t="shared" si="61"/>
        <v>0</v>
      </c>
      <c r="P128" s="6" t="str">
        <f t="shared" si="62"/>
        <v/>
      </c>
      <c r="Q128" s="59"/>
      <c r="R128" s="59"/>
      <c r="S128" s="60"/>
      <c r="T128" s="62">
        <f t="shared" si="52"/>
        <v>0</v>
      </c>
      <c r="U128" s="63" t="str">
        <f t="shared" si="53"/>
        <v/>
      </c>
      <c r="V128" s="59"/>
      <c r="W128" s="59"/>
      <c r="X128" s="60"/>
      <c r="Y128" s="62">
        <f t="shared" si="55"/>
        <v>0</v>
      </c>
      <c r="Z128" s="63" t="str">
        <f t="shared" si="56"/>
        <v/>
      </c>
      <c r="AA128" s="5">
        <f t="shared" si="63"/>
        <v>0</v>
      </c>
      <c r="AB128" s="5">
        <f t="shared" si="64"/>
        <v>0</v>
      </c>
      <c r="AC128" s="33">
        <f t="shared" si="36"/>
        <v>0</v>
      </c>
      <c r="AD128" s="5">
        <f t="shared" si="65"/>
        <v>0</v>
      </c>
      <c r="AE128" s="6" t="str">
        <f t="shared" si="66"/>
        <v/>
      </c>
      <c r="AF128" s="46">
        <f t="shared" si="35"/>
        <v>0</v>
      </c>
    </row>
    <row r="129" spans="1:32" x14ac:dyDescent="0.25">
      <c r="A129" s="3" t="s">
        <v>152</v>
      </c>
      <c r="B129" s="4"/>
      <c r="C129" s="4"/>
      <c r="D129" s="34"/>
      <c r="E129" s="5">
        <f t="shared" si="57"/>
        <v>0</v>
      </c>
      <c r="F129" s="6" t="str">
        <f t="shared" si="58"/>
        <v/>
      </c>
      <c r="G129" s="4"/>
      <c r="H129" s="4"/>
      <c r="I129" s="34"/>
      <c r="J129" s="5">
        <f t="shared" si="59"/>
        <v>0</v>
      </c>
      <c r="K129" s="6" t="str">
        <f t="shared" si="60"/>
        <v/>
      </c>
      <c r="L129" s="5">
        <f>0</f>
        <v>0</v>
      </c>
      <c r="M129" s="4"/>
      <c r="N129" s="34"/>
      <c r="O129" s="5">
        <f t="shared" si="61"/>
        <v>0</v>
      </c>
      <c r="P129" s="6" t="str">
        <f t="shared" si="62"/>
        <v/>
      </c>
      <c r="Q129" s="59"/>
      <c r="R129" s="59"/>
      <c r="S129" s="61"/>
      <c r="T129" s="62">
        <f t="shared" si="52"/>
        <v>0</v>
      </c>
      <c r="U129" s="63" t="str">
        <f t="shared" si="53"/>
        <v/>
      </c>
      <c r="V129" s="59"/>
      <c r="W129" s="59"/>
      <c r="X129" s="61"/>
      <c r="Y129" s="62">
        <f t="shared" si="55"/>
        <v>0</v>
      </c>
      <c r="Z129" s="63" t="str">
        <f t="shared" si="56"/>
        <v/>
      </c>
      <c r="AA129" s="5">
        <f t="shared" si="63"/>
        <v>0</v>
      </c>
      <c r="AB129" s="5">
        <f t="shared" si="64"/>
        <v>0</v>
      </c>
      <c r="AC129" s="34">
        <f t="shared" si="36"/>
        <v>0</v>
      </c>
      <c r="AD129" s="5">
        <f t="shared" si="65"/>
        <v>0</v>
      </c>
      <c r="AE129" s="6" t="str">
        <f t="shared" si="66"/>
        <v/>
      </c>
      <c r="AF129" s="47">
        <f t="shared" si="35"/>
        <v>0</v>
      </c>
    </row>
    <row r="130" spans="1:32" ht="15.75" thickBot="1" x14ac:dyDescent="0.3">
      <c r="A130" s="14" t="s">
        <v>133</v>
      </c>
      <c r="B130" s="4"/>
      <c r="C130" s="4"/>
      <c r="D130" s="35"/>
      <c r="E130" s="5">
        <f t="shared" si="57"/>
        <v>0</v>
      </c>
      <c r="F130" s="6" t="str">
        <f t="shared" si="58"/>
        <v/>
      </c>
      <c r="G130" s="4"/>
      <c r="H130" s="4"/>
      <c r="I130" s="35"/>
      <c r="J130" s="5">
        <f t="shared" si="59"/>
        <v>0</v>
      </c>
      <c r="K130" s="6" t="str">
        <f t="shared" si="60"/>
        <v/>
      </c>
      <c r="L130" s="5">
        <f>0</f>
        <v>0</v>
      </c>
      <c r="M130" s="4"/>
      <c r="N130" s="35"/>
      <c r="O130" s="5">
        <f t="shared" si="61"/>
        <v>0</v>
      </c>
      <c r="P130" s="6" t="str">
        <f t="shared" si="62"/>
        <v/>
      </c>
      <c r="Q130" s="59"/>
      <c r="R130" s="59"/>
      <c r="S130" s="64"/>
      <c r="T130" s="62">
        <f t="shared" si="52"/>
        <v>0</v>
      </c>
      <c r="U130" s="63" t="str">
        <f t="shared" si="53"/>
        <v/>
      </c>
      <c r="V130" s="59"/>
      <c r="W130" s="59"/>
      <c r="X130" s="64"/>
      <c r="Y130" s="62">
        <f t="shared" si="55"/>
        <v>0</v>
      </c>
      <c r="Z130" s="63" t="str">
        <f t="shared" si="56"/>
        <v/>
      </c>
      <c r="AA130" s="5">
        <f t="shared" si="63"/>
        <v>0</v>
      </c>
      <c r="AB130" s="5">
        <f t="shared" si="64"/>
        <v>0</v>
      </c>
      <c r="AC130" s="35">
        <f t="shared" si="36"/>
        <v>0</v>
      </c>
      <c r="AD130" s="5">
        <f t="shared" si="65"/>
        <v>0</v>
      </c>
      <c r="AE130" s="6" t="str">
        <f t="shared" si="66"/>
        <v/>
      </c>
      <c r="AF130" s="48">
        <f t="shared" si="35"/>
        <v>0</v>
      </c>
    </row>
    <row r="131" spans="1:32" ht="16.5" thickTop="1" thickBot="1" x14ac:dyDescent="0.3">
      <c r="A131" s="14" t="s">
        <v>134</v>
      </c>
      <c r="B131" s="27">
        <f>(((((((((((((((((((((((((((((((((((((((((B52)+(B53))+(B54))+(B55))+(B56))+(B57))+(B58))+(B59))+(B60))+(B61))+(B62))+(B63))+(B64))+(B65))+(B66))+(B67))+(B68))+(B69))+(B70))+(B71))+(B72))+(B73))+(B77))+(B84))+(B88))+(B99))+(B105))+(B113))+(B114))+(B115))+(B116))+(B117))+(B118))+(B119))+(B120))+(B121))+(B122))+(B123))+(B127))+(B128))+(B129))+(B130)</f>
        <v>87633.749999999985</v>
      </c>
      <c r="C131" s="28">
        <f>(((((((((((((((((((((((((((((((((((((((((C52)+(C53))+(C54))+(C55))+(C56))+(C57))+(C58))+(C59))+(C60))+(C61))+(C62))+(C63))+(C64))+(C65))+(C66))+(C67))+(C68))+(C69))+(C70))+(C71))+(C72))+(C73))+(C77))+(C84))+(C88))+(C99))+(C105))+(C113))+(C114))+(C115))+(C116))+(C117))+(C118))+(C119))+(C120))+(C121))+(C122))+(C123))+(C127))+(C128))+(C129))+(C130)</f>
        <v>309500</v>
      </c>
      <c r="D131" s="40">
        <f>(((((((((((((((((((((((((((((((((((((((((D52)+(D53))+(D54))+(D55))+(D56))+(D57))+(D58))+(D59))+(D60))+(D61))+(D62))+(D63))+(D64))+(D65))+(D66))+(D67))+(D68))+(D69))+(D70))+(D71))+(D72))+(D73))+(D77))+(D84))+(D88))+(D99))+(D105))+(D113))+(D114))+(D115))+(D116))+(D117))+(D118))+(D119))+(D120))+(D121))+(D122))+(D123))+(D127))+(D128))+(D129))+(D130)</f>
        <v>495000</v>
      </c>
      <c r="E131" s="28">
        <f t="shared" si="57"/>
        <v>-221866.25</v>
      </c>
      <c r="F131" s="29">
        <f t="shared" si="58"/>
        <v>0.28314620355411951</v>
      </c>
      <c r="G131" s="28">
        <f>(((((((((((((((((((((((((((((((((((((((((G52)+(G53))+(G54))+(G55))+(G56))+(G57))+(G58))+(G59))+(G60))+(G61))+(G62))+(G63))+(G64))+(G65))+(G66))+(G67))+(G68))+(G69))+(G70))+(G71))+(G72))+(G73))+(G77))+(G84))+(G88))+(G99))+(G105))+(G113))+(G114))+(G115))+(G116))+(G117))+(G118))+(G119))+(G120))+(G121))+(G122))+(G123))+(G127))+(G128))+(G129))+(G130)</f>
        <v>287153.84999999998</v>
      </c>
      <c r="H131" s="28">
        <f>(((((((((((((((((((((((((((((((((((((((((H52)+(H53))+(H54))+(H55))+(H56))+(H57))+(H58))+(H59))+(H60))+(H61))+(H62))+(H63))+(H64))+(H65))+(H66))+(H67))+(H68))+(H69))+(H70))+(H71))+(H72))+(H73))+(H77))+(H84))+(H88))+(H99))+(H105))+(H113))+(H114))+(H115))+(H116))+(H117))+(H118))+(H119))+(H120))+(H121))+(H122))+(H123))+(H127))+(H128))+(H129))+(H130)</f>
        <v>212800</v>
      </c>
      <c r="I131" s="40">
        <f>(((((((((((((((((((((((((((((((((((((((((I52)+(I53))+(I54))+(I55))+(I56))+(I57))+(I58))+(I59))+(I60))+(I61))+(I62))+(I63))+(I64))+(I65))+(I66))+(I67))+(I68))+(I69))+(I70))+(I71))+(I72))+(I73))+(I77))+(I84))+(I88))+(I99))+(I105))+(I113))+(I114))+(I115))+(I116))+(I117))+(I118))+(I119))+(I120))+(I121))+(I122))+(I123))+(I127))+(I128))+(I129))+(I130)</f>
        <v>314500</v>
      </c>
      <c r="J131" s="28">
        <f t="shared" si="59"/>
        <v>74353.849999999977</v>
      </c>
      <c r="K131" s="29">
        <f t="shared" si="60"/>
        <v>1.349407189849624</v>
      </c>
      <c r="L131" s="28">
        <f>(((((((((((((((((((((((((((((((((((((((((L52)+(L53))+(L54))+(L55))+(L56))+(L57))+(L58))+(L59))+(L60))+(L61))+(L62))+(L63))+(L64))+(L65))+(L66))+(L67))+(L68))+(L69))+(L70))+(L71))+(L72))+(L73))+(L77))+(L84))+(L88))+(L99))+(L105))+(L113))+(L114))+(L115))+(L116))+(L117))+(L118))+(L119))+(L120))+(L121))+(L122))+(L123))+(L127))+(L128))+(L129))+(L130)</f>
        <v>1730960.4200000002</v>
      </c>
      <c r="M131" s="28">
        <f>(((((((((((((((((((((((((((((((((((((((((M52)+(M53))+(M54))+(M55))+(M56))+(M57))+(M58))+(M59))+(M60))+(M61))+(M62))+(M63))+(M64))+(M65))+(M66))+(M67))+(M68))+(M69))+(M70))+(M71))+(M72))+(M73))+(M77))+(M84))+(M88))+(M99))+(M105))+(M113))+(M114))+(M115))+(M116))+(M117))+(M118))+(M119))+(M120))+(M121))+(M122))+(M123))+(M127))+(M128))+(M129))+(M130)</f>
        <v>1993375</v>
      </c>
      <c r="N131" s="40">
        <f>(((((((((((((((((((((((((((((((((((((((((N52)+(N53))+(N54))+(N55))+(N56))+(N57))+(N58))+(N59))+(N60))+(N61))+(N62))+(N63))+(N64))+(N65))+(N66))+(N67))+(N68))+(N69))+(N70))+(N71))+(N72))+(N73))+(N77))+(N84))+(N88))+(N99))+(N105))+(N113))+(N114))+(N115))+(N116))+(N117))+(N118))+(N119))+(N120))+(N121))+(N122))+(N123))+(N127))+(N128))+(N129))+(N130)</f>
        <v>2292550</v>
      </c>
      <c r="O131" s="28">
        <f t="shared" si="61"/>
        <v>-262414.57999999984</v>
      </c>
      <c r="P131" s="29">
        <f t="shared" si="62"/>
        <v>0.86835664137455326</v>
      </c>
      <c r="Q131" s="72">
        <f>(((((((((((((((((((((((((((((((((((((((((Q52)+(Q53))+(Q54))+(Q55))+(Q56))+(Q57))+(Q58))+(Q59))+(Q60))+(Q61))+(Q62))+(Q63))+(Q64))+(Q65))+(Q66))+(Q67))+(Q68))+(Q69))+(Q70))+(Q71))+(Q72))+(Q73))+(Q77))+(Q84))+(Q88))+(Q99))+(Q105))+(Q113))+(Q114))+(Q115))+(Q116))+(Q117))+(Q118))+(Q119))+(Q120))+(Q121))+(Q122))+(Q123))+(Q127))+(Q128))+(Q129))+(Q130)</f>
        <v>333393.26999999996</v>
      </c>
      <c r="R131" s="72">
        <f>(((((((((((((((((((((((((((((((((((((((((R52)+(R53))+(R54))+(R55))+(R56))+(R57))+(R58))+(R59))+(R60))+(R61))+(R62))+(R63))+(R64))+(R65))+(R66))+(R67))+(R68))+(R69))+(R70))+(R71))+(R72))+(R73))+(R77))+(R84))+(R88))+(R99))+(R105))+(R113))+(R114))+(R115))+(R116))+(R117))+(R118))+(R119))+(R120))+(R121))+(R122))+(R123))+(R127))+(R128))+(R129))+(R130)</f>
        <v>136000</v>
      </c>
      <c r="S131" s="72">
        <f>(((((((((((((((((((((((((((((((((((((((((S52)+(S53))+(S54))+(S55))+(S56))+(S57))+(S58))+(S59))+(S60))+(S61))+(S62))+(S63))+(S64))+(S65))+(S66))+(S67))+(S68))+(S69))+(S70))+(S71))+(S72))+(S73))+(S77))+(S84))+(S88))+(S99))+(S105))+(S113))+(S114))+(S115))+(S116))+(S117))+(S118))+(S119))+(S120))+(S121))+(S122))+(S123))+(S127))+(S128))+(S129))+(S130)</f>
        <v>0</v>
      </c>
      <c r="T131" s="72">
        <f t="shared" si="52"/>
        <v>197393.26999999996</v>
      </c>
      <c r="U131" s="73">
        <f t="shared" si="53"/>
        <v>2.4514211029411763</v>
      </c>
      <c r="V131" s="72">
        <f>(((((((((((((((((((((((((((((((((((((((((V52)+(V53))+(V54))+(V55))+(V56))+(V57))+(V58))+(V59))+(V60))+(V61))+(V62))+(V63))+(V64))+(V65))+(V66))+(V67))+(V68))+(V69))+(V70))+(V71))+(V72))+(V73))+(V77))+(V84))+(V88))+(V99))+(V105))+(V113))+(V114))+(V115))+(V116))+(V117))+(V118))+(V119))+(V120))+(V121))+(V122))+(V123))+(V127))+(V128))+(V129))+(V130)</f>
        <v>-6356.3099999999995</v>
      </c>
      <c r="W131" s="72">
        <f>(((((((((((((((((((((((((((((((((((((((((W52)+(W53))+(W54))+(W55))+(W56))+(W57))+(W58))+(W59))+(W60))+(W61))+(W62))+(W63))+(W64))+(W65))+(W66))+(W67))+(W68))+(W69))+(W70))+(W71))+(W72))+(W73))+(W77))+(W84))+(W88))+(W99))+(W105))+(W113))+(W114))+(W115))+(W116))+(W117))+(W118))+(W119))+(W120))+(W121))+(W122))+(W123))+(W127))+(W128))+(W129))+(W130)</f>
        <v>0</v>
      </c>
      <c r="X131" s="72">
        <f>(((((((((((((((((((((((((((((((((((((((((X52)+(X53))+(X54))+(X55))+(X56))+(X57))+(X58))+(X59))+(X60))+(X61))+(X62))+(X63))+(X64))+(X65))+(X66))+(X67))+(X68))+(X69))+(X70))+(X71))+(X72))+(X73))+(X77))+(X84))+(X88))+(X99))+(X105))+(X113))+(X114))+(X115))+(X116))+(X117))+(X118))+(X119))+(X120))+(X121))+(X122))+(X123))+(X127))+(X128))+(X129))+(X130)</f>
        <v>0</v>
      </c>
      <c r="Y131" s="72">
        <f t="shared" si="55"/>
        <v>-6356.3099999999995</v>
      </c>
      <c r="Z131" s="73" t="str">
        <f t="shared" si="56"/>
        <v/>
      </c>
      <c r="AA131" s="28">
        <f>((((B131)+(G131))+(L131))+(Q131))+(V131)</f>
        <v>2432784.98</v>
      </c>
      <c r="AB131" s="28">
        <f>((((C131)+(H131))+(M131))+(R131))+(W131)</f>
        <v>2651675</v>
      </c>
      <c r="AC131" s="40">
        <f>((((D131)+(I131))+(N131))+(S131))+(X131)</f>
        <v>3102050</v>
      </c>
      <c r="AD131" s="28">
        <f t="shared" si="65"/>
        <v>-218890.02000000002</v>
      </c>
      <c r="AE131" s="29">
        <f t="shared" si="66"/>
        <v>0.91745216891210268</v>
      </c>
      <c r="AF131" s="51">
        <f t="shared" si="35"/>
        <v>450375</v>
      </c>
    </row>
    <row r="132" spans="1:32" ht="15.75" thickBot="1" x14ac:dyDescent="0.3">
      <c r="A132" s="3" t="s">
        <v>135</v>
      </c>
      <c r="B132" s="24">
        <f>(B50)-(B131)</f>
        <v>-39214.749999999985</v>
      </c>
      <c r="C132" s="25">
        <f>(C50)-(C131)</f>
        <v>-268000</v>
      </c>
      <c r="D132" s="42">
        <f>(D50)-(D131)</f>
        <v>2313000</v>
      </c>
      <c r="E132" s="25">
        <f t="shared" si="57"/>
        <v>228785.25</v>
      </c>
      <c r="F132" s="26">
        <f t="shared" si="58"/>
        <v>0.14632369402985068</v>
      </c>
      <c r="G132" s="25">
        <f>(G50)-(G131)</f>
        <v>-187434.22999999998</v>
      </c>
      <c r="H132" s="25">
        <f>(H50)-(H131)</f>
        <v>-127800</v>
      </c>
      <c r="I132" s="42">
        <f>(I50)-(I131)</f>
        <v>-207000</v>
      </c>
      <c r="J132" s="25">
        <f t="shared" si="59"/>
        <v>-59634.229999999981</v>
      </c>
      <c r="K132" s="26">
        <f t="shared" si="60"/>
        <v>1.46662151799687</v>
      </c>
      <c r="L132" s="25">
        <f>(L50)-(L131)</f>
        <v>-1587197.9000000001</v>
      </c>
      <c r="M132" s="25">
        <f>(M50)-(M131)</f>
        <v>-1847675</v>
      </c>
      <c r="N132" s="42">
        <f>(N50)-(N131)</f>
        <v>-2143350</v>
      </c>
      <c r="O132" s="25">
        <f t="shared" si="61"/>
        <v>260477.09999999986</v>
      </c>
      <c r="P132" s="26">
        <f t="shared" si="62"/>
        <v>0.8590243955241047</v>
      </c>
      <c r="Q132" s="74">
        <f>(Q50)-(Q131)</f>
        <v>2116655.75</v>
      </c>
      <c r="R132" s="74">
        <f>(R50)-(R131)</f>
        <v>2271500</v>
      </c>
      <c r="S132" s="74">
        <f>(S50)-(S131)</f>
        <v>22000</v>
      </c>
      <c r="T132" s="74">
        <f t="shared" si="52"/>
        <v>-154844.25</v>
      </c>
      <c r="U132" s="75">
        <f t="shared" si="53"/>
        <v>0.93183171912832929</v>
      </c>
      <c r="V132" s="74">
        <f>(V50)-(V131)</f>
        <v>7409.7</v>
      </c>
      <c r="W132" s="74">
        <f>(W50)-(W131)</f>
        <v>0</v>
      </c>
      <c r="X132" s="74">
        <f>(X50)-(X131)</f>
        <v>0</v>
      </c>
      <c r="Y132" s="74">
        <f t="shared" si="55"/>
        <v>7409.7</v>
      </c>
      <c r="Z132" s="75" t="str">
        <f t="shared" si="56"/>
        <v/>
      </c>
      <c r="AA132" s="25">
        <f t="shared" si="63"/>
        <v>310218.56999999989</v>
      </c>
      <c r="AB132" s="25">
        <f t="shared" si="64"/>
        <v>28025</v>
      </c>
      <c r="AC132" s="42">
        <f t="shared" si="64"/>
        <v>-15350</v>
      </c>
      <c r="AD132" s="25">
        <f t="shared" si="65"/>
        <v>282193.56999999989</v>
      </c>
      <c r="AE132" s="26">
        <f t="shared" si="66"/>
        <v>11.069351293487953</v>
      </c>
      <c r="AF132" s="52">
        <f t="shared" si="35"/>
        <v>-43375</v>
      </c>
    </row>
    <row r="133" spans="1:32" ht="15.75" thickTop="1" x14ac:dyDescent="0.25">
      <c r="A133" s="3" t="s">
        <v>136</v>
      </c>
      <c r="B133" s="4"/>
      <c r="C133" s="4"/>
      <c r="D133" s="33"/>
      <c r="E133" s="4"/>
      <c r="F133" s="4"/>
      <c r="G133" s="4"/>
      <c r="H133" s="4"/>
      <c r="I133" s="33"/>
      <c r="J133" s="4"/>
      <c r="K133" s="4"/>
      <c r="L133" s="4"/>
      <c r="M133" s="4"/>
      <c r="N133" s="33"/>
      <c r="O133" s="4"/>
      <c r="P133" s="4"/>
      <c r="Q133" s="59"/>
      <c r="R133" s="59"/>
      <c r="S133" s="60"/>
      <c r="T133" s="59"/>
      <c r="U133" s="59"/>
      <c r="V133" s="59"/>
      <c r="W133" s="59"/>
      <c r="X133" s="60"/>
      <c r="Y133" s="59"/>
      <c r="Z133" s="59"/>
      <c r="AA133" s="4"/>
      <c r="AB133" s="4"/>
      <c r="AC133" s="33">
        <f t="shared" si="36"/>
        <v>0</v>
      </c>
      <c r="AD133" s="4"/>
      <c r="AE133" s="4"/>
      <c r="AF133" s="46">
        <f t="shared" si="35"/>
        <v>0</v>
      </c>
    </row>
    <row r="134" spans="1:32" x14ac:dyDescent="0.25">
      <c r="A134" s="3" t="s">
        <v>137</v>
      </c>
      <c r="B134" s="4"/>
      <c r="C134" s="4"/>
      <c r="D134" s="34"/>
      <c r="E134" s="5">
        <f>(B134)-(C134)</f>
        <v>0</v>
      </c>
      <c r="F134" s="6" t="str">
        <f>IF(C134=0,"",(B134)/(C134))</f>
        <v/>
      </c>
      <c r="G134" s="4"/>
      <c r="H134" s="4"/>
      <c r="I134" s="34"/>
      <c r="J134" s="5">
        <f>(G134)-(H134)</f>
        <v>0</v>
      </c>
      <c r="K134" s="6" t="str">
        <f>IF(H134=0,"",(G134)/(H134))</f>
        <v/>
      </c>
      <c r="L134" s="5">
        <f>9121.43</f>
        <v>9121.43</v>
      </c>
      <c r="M134" s="5">
        <f>8500</f>
        <v>8500</v>
      </c>
      <c r="N134" s="37">
        <v>9500</v>
      </c>
      <c r="O134" s="5">
        <f>(L134)-(M134)</f>
        <v>621.43000000000029</v>
      </c>
      <c r="P134" s="6">
        <f>IF(M134=0,"",(L134)/(M134))</f>
        <v>1.073109411764706</v>
      </c>
      <c r="Q134" s="59"/>
      <c r="R134" s="59"/>
      <c r="S134" s="61"/>
      <c r="T134" s="62">
        <f>(Q134)-(R134)</f>
        <v>0</v>
      </c>
      <c r="U134" s="63" t="str">
        <f>IF(R134=0,"",(Q134)/(R134))</f>
        <v/>
      </c>
      <c r="V134" s="62">
        <f>506.12</f>
        <v>506.12</v>
      </c>
      <c r="W134" s="59"/>
      <c r="X134" s="61"/>
      <c r="Y134" s="62">
        <f>(V134)-(W134)</f>
        <v>506.12</v>
      </c>
      <c r="Z134" s="63" t="str">
        <f>IF(W134=0,"",(V134)/(W134))</f>
        <v/>
      </c>
      <c r="AA134" s="5">
        <f t="shared" ref="AA134:AB136" si="67">((((B134)+(G134))+(L134))+(Q134))+(V134)</f>
        <v>9627.5500000000011</v>
      </c>
      <c r="AB134" s="5">
        <f t="shared" si="67"/>
        <v>8500</v>
      </c>
      <c r="AC134" s="34">
        <f t="shared" si="36"/>
        <v>9500</v>
      </c>
      <c r="AD134" s="5">
        <f>(AA134)-(AB134)</f>
        <v>1127.5500000000011</v>
      </c>
      <c r="AE134" s="6">
        <f>IF(AB134=0,"",(AA134)/(AB134))</f>
        <v>1.1326529411764708</v>
      </c>
      <c r="AF134" s="47">
        <f t="shared" si="35"/>
        <v>1000</v>
      </c>
    </row>
    <row r="135" spans="1:32" ht="15.75" thickBot="1" x14ac:dyDescent="0.3">
      <c r="A135" s="14" t="s">
        <v>138</v>
      </c>
      <c r="B135" s="4"/>
      <c r="C135" s="4"/>
      <c r="D135" s="35"/>
      <c r="E135" s="5">
        <f>(B135)-(C135)</f>
        <v>0</v>
      </c>
      <c r="F135" s="6" t="str">
        <f>IF(C135=0,"",(B135)/(C135))</f>
        <v/>
      </c>
      <c r="G135" s="4"/>
      <c r="H135" s="4"/>
      <c r="I135" s="35"/>
      <c r="J135" s="5">
        <f>(G135)-(H135)</f>
        <v>0</v>
      </c>
      <c r="K135" s="6" t="str">
        <f>IF(H135=0,"",(G135)/(H135))</f>
        <v/>
      </c>
      <c r="L135" s="5">
        <f>34958.85</f>
        <v>34958.85</v>
      </c>
      <c r="M135" s="5">
        <f>35000</f>
        <v>35000</v>
      </c>
      <c r="N135" s="39">
        <v>35000</v>
      </c>
      <c r="O135" s="5">
        <f>(L135)-(M135)</f>
        <v>-41.150000000001455</v>
      </c>
      <c r="P135" s="6">
        <f>IF(M135=0,"",(L135)/(M135))</f>
        <v>0.99882428571428572</v>
      </c>
      <c r="Q135" s="59"/>
      <c r="R135" s="59"/>
      <c r="S135" s="64"/>
      <c r="T135" s="62">
        <f>(Q135)-(R135)</f>
        <v>0</v>
      </c>
      <c r="U135" s="63" t="str">
        <f>IF(R135=0,"",(Q135)/(R135))</f>
        <v/>
      </c>
      <c r="V135" s="59"/>
      <c r="W135" s="59"/>
      <c r="X135" s="64"/>
      <c r="Y135" s="62">
        <f>(V135)-(W135)</f>
        <v>0</v>
      </c>
      <c r="Z135" s="63" t="str">
        <f>IF(W135=0,"",(V135)/(W135))</f>
        <v/>
      </c>
      <c r="AA135" s="5">
        <f t="shared" si="67"/>
        <v>34958.85</v>
      </c>
      <c r="AB135" s="5">
        <f t="shared" si="67"/>
        <v>35000</v>
      </c>
      <c r="AC135" s="35">
        <f t="shared" si="36"/>
        <v>35000</v>
      </c>
      <c r="AD135" s="5">
        <f>(AA135)-(AB135)</f>
        <v>-41.150000000001455</v>
      </c>
      <c r="AE135" s="6">
        <f>IF(AB135=0,"",(AA135)/(AB135))</f>
        <v>0.99882428571428572</v>
      </c>
      <c r="AF135" s="48">
        <f t="shared" si="35"/>
        <v>0</v>
      </c>
    </row>
    <row r="136" spans="1:32" ht="16.5" thickTop="1" thickBot="1" x14ac:dyDescent="0.3">
      <c r="A136" s="3" t="s">
        <v>139</v>
      </c>
      <c r="B136" s="19">
        <f>(B134)+(B135)</f>
        <v>0</v>
      </c>
      <c r="C136" s="20">
        <f>(C134)+(C135)</f>
        <v>0</v>
      </c>
      <c r="D136" s="38">
        <f>(D134)+(D135)</f>
        <v>0</v>
      </c>
      <c r="E136" s="20">
        <f>(B136)-(C136)</f>
        <v>0</v>
      </c>
      <c r="F136" s="21" t="str">
        <f>IF(C136=0,"",(B136)/(C136))</f>
        <v/>
      </c>
      <c r="G136" s="20">
        <f>(G134)+(G135)</f>
        <v>0</v>
      </c>
      <c r="H136" s="20">
        <f>(H134)+(H135)</f>
        <v>0</v>
      </c>
      <c r="I136" s="38">
        <f>(I134)+(I135)</f>
        <v>0</v>
      </c>
      <c r="J136" s="20">
        <f>(G136)-(H136)</f>
        <v>0</v>
      </c>
      <c r="K136" s="21" t="str">
        <f>IF(H136=0,"",(G136)/(H136))</f>
        <v/>
      </c>
      <c r="L136" s="20">
        <f>(L134)+(L135)</f>
        <v>44080.28</v>
      </c>
      <c r="M136" s="20">
        <f>(M134)+(M135)</f>
        <v>43500</v>
      </c>
      <c r="N136" s="38">
        <f>(N134)+(N135)</f>
        <v>44500</v>
      </c>
      <c r="O136" s="20">
        <f>(L136)-(M136)</f>
        <v>580.27999999999884</v>
      </c>
      <c r="P136" s="21">
        <f>IF(M136=0,"",(L136)/(M136))</f>
        <v>1.0133397701149425</v>
      </c>
      <c r="Q136" s="67">
        <f>(Q134)+(Q135)</f>
        <v>0</v>
      </c>
      <c r="R136" s="67">
        <f>(R134)+(R135)</f>
        <v>0</v>
      </c>
      <c r="S136" s="67">
        <f>(S134)+(S135)</f>
        <v>0</v>
      </c>
      <c r="T136" s="67">
        <f>(Q136)-(R136)</f>
        <v>0</v>
      </c>
      <c r="U136" s="68" t="str">
        <f>IF(R136=0,"",(Q136)/(R136))</f>
        <v/>
      </c>
      <c r="V136" s="67">
        <f>(V134)+(V135)</f>
        <v>506.12</v>
      </c>
      <c r="W136" s="67">
        <f>(W134)+(W135)</f>
        <v>0</v>
      </c>
      <c r="X136" s="67">
        <f>(X134)+(X135)</f>
        <v>0</v>
      </c>
      <c r="Y136" s="67">
        <f>(V136)-(W136)</f>
        <v>506.12</v>
      </c>
      <c r="Z136" s="68" t="str">
        <f>IF(W136=0,"",(V136)/(W136))</f>
        <v/>
      </c>
      <c r="AA136" s="20">
        <f t="shared" si="67"/>
        <v>44586.400000000001</v>
      </c>
      <c r="AB136" s="20">
        <f t="shared" si="67"/>
        <v>43500</v>
      </c>
      <c r="AC136" s="38">
        <f>((((D136)+(I136))+(N136))+(S136))+(X136)</f>
        <v>44500</v>
      </c>
      <c r="AD136" s="20">
        <f>(AA136)-(AB136)</f>
        <v>1086.4000000000015</v>
      </c>
      <c r="AE136" s="21">
        <f>IF(AB136=0,"",(AA136)/(AB136))</f>
        <v>1.0249747126436781</v>
      </c>
      <c r="AF136" s="50">
        <f t="shared" ref="AF136:AF143" si="68">AC136-AB136</f>
        <v>1000</v>
      </c>
    </row>
    <row r="137" spans="1:32" ht="15.75" thickTop="1" x14ac:dyDescent="0.25">
      <c r="A137" s="3" t="s">
        <v>140</v>
      </c>
      <c r="B137" s="4"/>
      <c r="C137" s="4"/>
      <c r="D137" s="33"/>
      <c r="E137" s="4"/>
      <c r="F137" s="4"/>
      <c r="G137" s="4"/>
      <c r="H137" s="4"/>
      <c r="I137" s="33"/>
      <c r="J137" s="4"/>
      <c r="K137" s="4"/>
      <c r="L137" s="4"/>
      <c r="M137" s="4"/>
      <c r="N137" s="33"/>
      <c r="O137" s="4"/>
      <c r="P137" s="4"/>
      <c r="Q137" s="59"/>
      <c r="R137" s="59"/>
      <c r="S137" s="60"/>
      <c r="T137" s="59"/>
      <c r="U137" s="59"/>
      <c r="V137" s="59"/>
      <c r="W137" s="59"/>
      <c r="X137" s="60"/>
      <c r="Y137" s="59"/>
      <c r="Z137" s="59"/>
      <c r="AA137" s="4"/>
      <c r="AB137" s="4"/>
      <c r="AC137" s="33">
        <f t="shared" ref="AC137:AC138" si="69">SUM(D137,I137,N137,S137,X137)</f>
        <v>0</v>
      </c>
      <c r="AD137" s="4"/>
      <c r="AE137" s="4"/>
      <c r="AF137" s="46">
        <f t="shared" si="68"/>
        <v>0</v>
      </c>
    </row>
    <row r="138" spans="1:32" ht="15.75" thickBot="1" x14ac:dyDescent="0.3">
      <c r="A138" s="14" t="s">
        <v>141</v>
      </c>
      <c r="B138" s="4"/>
      <c r="C138" s="4"/>
      <c r="D138" s="35"/>
      <c r="E138" s="5">
        <f>(B138)-(C138)</f>
        <v>0</v>
      </c>
      <c r="F138" s="6" t="str">
        <f>IF(C138=0,"",(B138)/(C138))</f>
        <v/>
      </c>
      <c r="G138" s="4"/>
      <c r="H138" s="4"/>
      <c r="I138" s="35"/>
      <c r="J138" s="5">
        <f>(G138)-(H138)</f>
        <v>0</v>
      </c>
      <c r="K138" s="6" t="str">
        <f>IF(H138=0,"",(G138)/(H138))</f>
        <v/>
      </c>
      <c r="L138" s="4"/>
      <c r="M138" s="4"/>
      <c r="N138" s="35"/>
      <c r="O138" s="5">
        <f>(L138)-(M138)</f>
        <v>0</v>
      </c>
      <c r="P138" s="6" t="str">
        <f>IF(M138=0,"",(L138)/(M138))</f>
        <v/>
      </c>
      <c r="Q138" s="62">
        <f>-33476.05</f>
        <v>-33476.050000000003</v>
      </c>
      <c r="R138" s="59"/>
      <c r="S138" s="64"/>
      <c r="T138" s="62">
        <f>(Q138)-(R138)</f>
        <v>-33476.050000000003</v>
      </c>
      <c r="U138" s="63" t="str">
        <f>IF(R138=0,"",(Q138)/(R138))</f>
        <v/>
      </c>
      <c r="V138" s="62">
        <f>-0.01</f>
        <v>-0.01</v>
      </c>
      <c r="W138" s="59"/>
      <c r="X138" s="64"/>
      <c r="Y138" s="62">
        <f>(V138)-(W138)</f>
        <v>-0.01</v>
      </c>
      <c r="Z138" s="63" t="str">
        <f>IF(W138=0,"",(V138)/(W138))</f>
        <v/>
      </c>
      <c r="AA138" s="5">
        <f t="shared" ref="AA138:AB141" si="70">((((B138)+(G138))+(L138))+(Q138))+(V138)</f>
        <v>-33476.060000000005</v>
      </c>
      <c r="AB138" s="5">
        <f t="shared" si="70"/>
        <v>0</v>
      </c>
      <c r="AC138" s="35">
        <f t="shared" si="69"/>
        <v>0</v>
      </c>
      <c r="AD138" s="5">
        <f>(AA138)-(AB138)</f>
        <v>-33476.060000000005</v>
      </c>
      <c r="AE138" s="6" t="str">
        <f>IF(AB138=0,"",(AA138)/(AB138))</f>
        <v/>
      </c>
      <c r="AF138" s="48">
        <f t="shared" si="68"/>
        <v>0</v>
      </c>
    </row>
    <row r="139" spans="1:32" ht="16.5" thickTop="1" thickBot="1" x14ac:dyDescent="0.3">
      <c r="A139" s="15" t="s">
        <v>142</v>
      </c>
      <c r="B139" s="27">
        <f>B138</f>
        <v>0</v>
      </c>
      <c r="C139" s="28">
        <f>C138</f>
        <v>0</v>
      </c>
      <c r="D139" s="40">
        <f>D138</f>
        <v>0</v>
      </c>
      <c r="E139" s="28">
        <f>(B139)-(C139)</f>
        <v>0</v>
      </c>
      <c r="F139" s="29" t="str">
        <f>IF(C139=0,"",(B139)/(C139))</f>
        <v/>
      </c>
      <c r="G139" s="28">
        <f>G138</f>
        <v>0</v>
      </c>
      <c r="H139" s="28">
        <f>H138</f>
        <v>0</v>
      </c>
      <c r="I139" s="40">
        <f>I138</f>
        <v>0</v>
      </c>
      <c r="J139" s="28">
        <f>(G139)-(H139)</f>
        <v>0</v>
      </c>
      <c r="K139" s="29" t="str">
        <f>IF(H139=0,"",(G139)/(H139))</f>
        <v/>
      </c>
      <c r="L139" s="28">
        <f>L138</f>
        <v>0</v>
      </c>
      <c r="M139" s="28">
        <f>M138</f>
        <v>0</v>
      </c>
      <c r="N139" s="40">
        <f>N138</f>
        <v>0</v>
      </c>
      <c r="O139" s="28">
        <f>(L139)-(M139)</f>
        <v>0</v>
      </c>
      <c r="P139" s="29" t="str">
        <f>IF(M139=0,"",(L139)/(M139))</f>
        <v/>
      </c>
      <c r="Q139" s="72">
        <f>Q138</f>
        <v>-33476.050000000003</v>
      </c>
      <c r="R139" s="72">
        <f>R138</f>
        <v>0</v>
      </c>
      <c r="S139" s="72">
        <f>S138</f>
        <v>0</v>
      </c>
      <c r="T139" s="72">
        <f>(Q139)-(R139)</f>
        <v>-33476.050000000003</v>
      </c>
      <c r="U139" s="73" t="str">
        <f>IF(R139=0,"",(Q139)/(R139))</f>
        <v/>
      </c>
      <c r="V139" s="72">
        <f>V138</f>
        <v>-0.01</v>
      </c>
      <c r="W139" s="72">
        <f>W138</f>
        <v>0</v>
      </c>
      <c r="X139" s="72">
        <f>X138</f>
        <v>0</v>
      </c>
      <c r="Y139" s="72">
        <f>(V139)-(W139)</f>
        <v>-0.01</v>
      </c>
      <c r="Z139" s="73" t="str">
        <f>IF(W139=0,"",(V139)/(W139))</f>
        <v/>
      </c>
      <c r="AA139" s="28">
        <f t="shared" si="70"/>
        <v>-33476.060000000005</v>
      </c>
      <c r="AB139" s="28">
        <f t="shared" si="70"/>
        <v>0</v>
      </c>
      <c r="AC139" s="40">
        <f>((((D139)+(I139))+(N139))+(S139))+(X139)</f>
        <v>0</v>
      </c>
      <c r="AD139" s="28">
        <f>(AA139)-(AB139)</f>
        <v>-33476.060000000005</v>
      </c>
      <c r="AE139" s="29" t="str">
        <f>IF(AB139=0,"",(AA139)/(AB139))</f>
        <v/>
      </c>
      <c r="AF139" s="51">
        <f t="shared" si="68"/>
        <v>0</v>
      </c>
    </row>
    <row r="140" spans="1:32" ht="15.75" thickBot="1" x14ac:dyDescent="0.3">
      <c r="A140" s="15" t="s">
        <v>143</v>
      </c>
      <c r="B140" s="30">
        <f>(B136)-(B139)</f>
        <v>0</v>
      </c>
      <c r="C140" s="16">
        <f>(C136)-(C139)</f>
        <v>0</v>
      </c>
      <c r="D140" s="36">
        <f>(D136)-(D139)</f>
        <v>0</v>
      </c>
      <c r="E140" s="16">
        <f>(B140)-(C140)</f>
        <v>0</v>
      </c>
      <c r="F140" s="17" t="str">
        <f>IF(C140=0,"",(B140)/(C140))</f>
        <v/>
      </c>
      <c r="G140" s="16">
        <f>(G136)-(G139)</f>
        <v>0</v>
      </c>
      <c r="H140" s="16">
        <f>(H136)-(H139)</f>
        <v>0</v>
      </c>
      <c r="I140" s="36">
        <f>(I136)-(I139)</f>
        <v>0</v>
      </c>
      <c r="J140" s="16">
        <f>(G140)-(H140)</f>
        <v>0</v>
      </c>
      <c r="K140" s="17" t="str">
        <f>IF(H140=0,"",(G140)/(H140))</f>
        <v/>
      </c>
      <c r="L140" s="16">
        <f>(L136)-(L139)</f>
        <v>44080.28</v>
      </c>
      <c r="M140" s="16">
        <f>(M136)-(M139)</f>
        <v>43500</v>
      </c>
      <c r="N140" s="36">
        <f>(N136)-(N139)</f>
        <v>44500</v>
      </c>
      <c r="O140" s="16">
        <f>(L140)-(M140)</f>
        <v>580.27999999999884</v>
      </c>
      <c r="P140" s="17">
        <f>IF(M140=0,"",(L140)/(M140))</f>
        <v>1.0133397701149425</v>
      </c>
      <c r="Q140" s="65">
        <f>(Q136)-(Q139)</f>
        <v>33476.050000000003</v>
      </c>
      <c r="R140" s="65">
        <f>(R136)-(R139)</f>
        <v>0</v>
      </c>
      <c r="S140" s="65">
        <f>(S136)-(S139)</f>
        <v>0</v>
      </c>
      <c r="T140" s="65">
        <f>(Q140)-(R140)</f>
        <v>33476.050000000003</v>
      </c>
      <c r="U140" s="66" t="str">
        <f>IF(R140=0,"",(Q140)/(R140))</f>
        <v/>
      </c>
      <c r="V140" s="65">
        <f>(V136)-(V139)</f>
        <v>506.13</v>
      </c>
      <c r="W140" s="65">
        <f>(W136)-(W139)</f>
        <v>0</v>
      </c>
      <c r="X140" s="65">
        <f>(X136)-(X139)</f>
        <v>0</v>
      </c>
      <c r="Y140" s="65">
        <f>(V140)-(W140)</f>
        <v>506.13</v>
      </c>
      <c r="Z140" s="66" t="str">
        <f>IF(W140=0,"",(V140)/(W140))</f>
        <v/>
      </c>
      <c r="AA140" s="16">
        <f t="shared" si="70"/>
        <v>78062.460000000006</v>
      </c>
      <c r="AB140" s="16">
        <f t="shared" si="70"/>
        <v>43500</v>
      </c>
      <c r="AC140" s="36">
        <f>((((D140)+(I140))+(N140))+(S140))+(X140)</f>
        <v>44500</v>
      </c>
      <c r="AD140" s="16">
        <f>(AA140)-(AB140)</f>
        <v>34562.460000000006</v>
      </c>
      <c r="AE140" s="17">
        <f>IF(AB140=0,"",(AA140)/(AB140))</f>
        <v>1.7945393103448277</v>
      </c>
      <c r="AF140" s="53">
        <f t="shared" si="68"/>
        <v>1000</v>
      </c>
    </row>
    <row r="141" spans="1:32" ht="15.75" thickBot="1" x14ac:dyDescent="0.3">
      <c r="A141" s="15" t="s">
        <v>144</v>
      </c>
      <c r="B141" s="31">
        <f>(B132)+(B140)</f>
        <v>-39214.749999999985</v>
      </c>
      <c r="C141" s="22">
        <f>(C132)+(C140)</f>
        <v>-268000</v>
      </c>
      <c r="D141" s="43">
        <f>(D132)+(D140)</f>
        <v>2313000</v>
      </c>
      <c r="E141" s="22">
        <f>(B141)-(C141)</f>
        <v>228785.25</v>
      </c>
      <c r="F141" s="23">
        <f>IF(C141=0,"",(B141)/(C141))</f>
        <v>0.14632369402985068</v>
      </c>
      <c r="G141" s="22">
        <f>(G132)+(G140)</f>
        <v>-187434.22999999998</v>
      </c>
      <c r="H141" s="22">
        <f>(H132)+(H140)</f>
        <v>-127800</v>
      </c>
      <c r="I141" s="43">
        <f>(I132)+(I140)</f>
        <v>-207000</v>
      </c>
      <c r="J141" s="22">
        <f>(G141)-(H141)</f>
        <v>-59634.229999999981</v>
      </c>
      <c r="K141" s="23">
        <f>IF(H141=0,"",(G141)/(H141))</f>
        <v>1.46662151799687</v>
      </c>
      <c r="L141" s="22">
        <f>(L132)+(L140)</f>
        <v>-1543117.62</v>
      </c>
      <c r="M141" s="22">
        <f>(M132)+(M140)</f>
        <v>-1804175</v>
      </c>
      <c r="N141" s="43">
        <f>(N132)+(N140)</f>
        <v>-2098850</v>
      </c>
      <c r="O141" s="22">
        <f>(L141)-(M141)</f>
        <v>261057.37999999989</v>
      </c>
      <c r="P141" s="23">
        <f>IF(M141=0,"",(L141)/(M141))</f>
        <v>0.85530373716518637</v>
      </c>
      <c r="Q141" s="76">
        <f>(Q132)+(Q140)</f>
        <v>2150131.7999999998</v>
      </c>
      <c r="R141" s="76">
        <f>(R132)+(R140)</f>
        <v>2271500</v>
      </c>
      <c r="S141" s="76">
        <f>(S132)+(S140)</f>
        <v>22000</v>
      </c>
      <c r="T141" s="76">
        <f>(Q141)-(R141)</f>
        <v>-121368.20000000019</v>
      </c>
      <c r="U141" s="77">
        <f>IF(R141=0,"",(Q141)/(R141))</f>
        <v>0.94656913933524089</v>
      </c>
      <c r="V141" s="76">
        <f>(V132)+(V140)</f>
        <v>7915.83</v>
      </c>
      <c r="W141" s="76">
        <f>(W132)+(W140)</f>
        <v>0</v>
      </c>
      <c r="X141" s="76">
        <f>(X132)+(X140)</f>
        <v>0</v>
      </c>
      <c r="Y141" s="76">
        <f>(V141)-(W141)</f>
        <v>7915.83</v>
      </c>
      <c r="Z141" s="77" t="str">
        <f>IF(W141=0,"",(V141)/(W141))</f>
        <v/>
      </c>
      <c r="AA141" s="22">
        <f t="shared" si="70"/>
        <v>388281.02999999974</v>
      </c>
      <c r="AB141" s="22">
        <f t="shared" si="70"/>
        <v>71525</v>
      </c>
      <c r="AC141" s="43">
        <f>((((D141)+(I141))+(N141))+(S141))+(X141)</f>
        <v>29150</v>
      </c>
      <c r="AD141" s="22">
        <f>(AA141)-(AB141)</f>
        <v>316756.02999999974</v>
      </c>
      <c r="AE141" s="23">
        <f>IF(AB141=0,"",(AA141)/(AB141))</f>
        <v>5.4286058021670707</v>
      </c>
      <c r="AF141" s="54">
        <f t="shared" si="68"/>
        <v>-42375</v>
      </c>
    </row>
    <row r="142" spans="1:32" x14ac:dyDescent="0.25">
      <c r="A142" s="3"/>
      <c r="B142" s="4"/>
      <c r="C142" s="4"/>
      <c r="D142" s="33"/>
      <c r="E142" s="4"/>
      <c r="F142" s="4"/>
      <c r="G142" s="4"/>
      <c r="H142" s="4"/>
      <c r="I142" s="33"/>
      <c r="J142" s="4"/>
      <c r="K142" s="4"/>
      <c r="L142" s="4"/>
      <c r="M142" s="4"/>
      <c r="N142" s="33"/>
      <c r="O142" s="4"/>
      <c r="P142" s="4"/>
      <c r="Q142" s="59"/>
      <c r="R142" s="59"/>
      <c r="S142" s="60"/>
      <c r="T142" s="59"/>
      <c r="U142" s="59"/>
      <c r="V142" s="59"/>
      <c r="W142" s="59"/>
      <c r="X142" s="60"/>
      <c r="Y142" s="59"/>
      <c r="Z142" s="59"/>
      <c r="AA142" s="4"/>
      <c r="AB142" s="4"/>
      <c r="AC142" s="33"/>
      <c r="AD142" s="4"/>
      <c r="AE142" s="4"/>
      <c r="AF142" s="46">
        <f t="shared" si="68"/>
        <v>0</v>
      </c>
    </row>
    <row r="143" spans="1:32" x14ac:dyDescent="0.25">
      <c r="A143" s="3" t="s">
        <v>158</v>
      </c>
      <c r="N143" s="44">
        <v>108000</v>
      </c>
      <c r="Q143" s="55"/>
      <c r="R143" s="55"/>
      <c r="S143" s="56"/>
      <c r="T143" s="55"/>
      <c r="U143" s="55"/>
      <c r="V143" s="55"/>
      <c r="W143" s="55"/>
      <c r="X143" s="56"/>
      <c r="Y143" s="55"/>
      <c r="Z143" s="55"/>
      <c r="AF143" s="47">
        <f t="shared" si="68"/>
        <v>0</v>
      </c>
    </row>
    <row r="144" spans="1:32" x14ac:dyDescent="0.25">
      <c r="Q144" s="55"/>
      <c r="R144" s="55"/>
      <c r="S144" s="56"/>
      <c r="T144" s="55"/>
      <c r="U144" s="55"/>
      <c r="V144" s="55"/>
      <c r="W144" s="55"/>
      <c r="X144" s="56"/>
      <c r="Y144" s="55"/>
      <c r="Z144" s="55"/>
    </row>
    <row r="145" spans="1:31" x14ac:dyDescent="0.25">
      <c r="A145" s="80" t="s">
        <v>145</v>
      </c>
      <c r="B145" s="81"/>
      <c r="C145" s="81"/>
      <c r="D145" s="81"/>
      <c r="E145" s="81"/>
      <c r="F145" s="81"/>
      <c r="G145" s="81"/>
      <c r="H145" s="81"/>
      <c r="I145" s="81"/>
      <c r="J145" s="81"/>
      <c r="K145" s="81"/>
      <c r="L145" s="81"/>
      <c r="M145" s="81"/>
      <c r="N145" s="81"/>
      <c r="O145" s="81"/>
      <c r="P145" s="81"/>
      <c r="Q145" s="81"/>
      <c r="R145" s="81"/>
      <c r="S145" s="81"/>
      <c r="T145" s="81"/>
      <c r="U145" s="81"/>
      <c r="V145" s="81"/>
      <c r="W145" s="81"/>
      <c r="X145" s="81"/>
      <c r="Y145" s="81"/>
      <c r="Z145" s="81"/>
      <c r="AA145" s="81"/>
      <c r="AB145" s="81"/>
      <c r="AC145" s="81"/>
      <c r="AD145" s="81"/>
      <c r="AE145" s="81"/>
    </row>
  </sheetData>
  <mergeCells count="11">
    <mergeCell ref="A145:AE145"/>
    <mergeCell ref="A1:AE1"/>
    <mergeCell ref="A2:AE2"/>
    <mergeCell ref="A3:AE3"/>
    <mergeCell ref="B5:F5"/>
    <mergeCell ref="G5:K5"/>
    <mergeCell ref="L5:P5"/>
    <mergeCell ref="Q5:U5"/>
    <mergeCell ref="V5:Z5"/>
    <mergeCell ref="AA5:AE5"/>
    <mergeCell ref="Q4:W4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Budget vs. Actuals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Paul Bishop</cp:lastModifiedBy>
  <dcterms:created xsi:type="dcterms:W3CDTF">2024-08-22T16:50:43Z</dcterms:created>
  <dcterms:modified xsi:type="dcterms:W3CDTF">2024-10-04T15:37:08Z</dcterms:modified>
</cp:coreProperties>
</file>